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f9ced3f1520285c/4. Point Scoring/2026/"/>
    </mc:Choice>
  </mc:AlternateContent>
  <xr:revisionPtr revIDLastSave="1943" documentId="8_{9D8E2DE3-9A3F-44F4-832A-E4FD66A87FBF}" xr6:coauthVersionLast="47" xr6:coauthVersionMax="47" xr10:uidLastSave="{E1610651-D9A0-448F-A73A-71D49295B6FF}"/>
  <bookViews>
    <workbookView xWindow="-108" yWindow="-108" windowWidth="23256" windowHeight="12456" tabRatio="834" activeTab="5" xr2:uid="{00000000-000D-0000-FFFF-FFFF00000000}"/>
  </bookViews>
  <sheets>
    <sheet name="BAMBINO" sheetId="12" r:id="rId1"/>
    <sheet name="MICRO MAX" sheetId="10" r:id="rId2"/>
    <sheet name="MINI MAX" sheetId="9" r:id="rId3"/>
    <sheet name="JNR MAX" sheetId="5" r:id="rId4"/>
    <sheet name="SNR MAX" sheetId="6" state="hidden" r:id="rId5"/>
    <sheet name="DD2" sheetId="7" r:id="rId6"/>
    <sheet name="DD2 Masters" sheetId="8" r:id="rId7"/>
    <sheet name="SARMC Dates 2026" sheetId="11" r:id="rId8"/>
    <sheet name="Sheet2" sheetId="16" r:id="rId9"/>
    <sheet name="Sheet1" sheetId="15" state="hidden" r:id="rId10"/>
  </sheets>
  <definedNames>
    <definedName name="_xlnm._FilterDatabase" localSheetId="0" hidden="1">BAMBINO!$A$3:$AZ$33</definedName>
    <definedName name="_xlnm._FilterDatabase" localSheetId="5" hidden="1">'DD2'!$A$3:$AZ$3</definedName>
    <definedName name="_xlnm._FilterDatabase" localSheetId="6" hidden="1">'DD2 Masters'!$B$3:$AD$3</definedName>
    <definedName name="_xlnm._FilterDatabase" localSheetId="3" hidden="1">'JNR MAX'!$A$3:$AK$51</definedName>
    <definedName name="_xlnm._FilterDatabase" localSheetId="1" hidden="1">'MICRO MAX'!$A$3:$AZ$44</definedName>
    <definedName name="_xlnm._FilterDatabase" localSheetId="2" hidden="1">'MINI MAX'!$A$3:$AZ$54</definedName>
    <definedName name="_xlnm._FilterDatabase" localSheetId="8" hidden="1">Sheet2!$A$1:$H$298</definedName>
    <definedName name="_xlnm._FilterDatabase" localSheetId="4" hidden="1">'SNR MAX'!$A$3:$AZ$70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4" i="10" l="1"/>
  <c r="AA38" i="6"/>
  <c r="AA40" i="6"/>
  <c r="AA37" i="6"/>
  <c r="F40" i="6"/>
  <c r="K40" i="6"/>
  <c r="Y40" i="6"/>
  <c r="Z40" i="6"/>
  <c r="AB40" i="6"/>
  <c r="AC40" i="6"/>
  <c r="AD40" i="6"/>
  <c r="AE40" i="6"/>
  <c r="AF40" i="6"/>
  <c r="AG40" i="6"/>
  <c r="AH40" i="6"/>
  <c r="K38" i="6"/>
  <c r="Y38" i="6"/>
  <c r="Z38" i="6"/>
  <c r="AB38" i="6"/>
  <c r="AC38" i="6"/>
  <c r="AD38" i="6"/>
  <c r="AE38" i="6"/>
  <c r="AF38" i="6"/>
  <c r="AG38" i="6"/>
  <c r="AH38" i="6"/>
  <c r="K13" i="8"/>
  <c r="Y13" i="8"/>
  <c r="Z13" i="8"/>
  <c r="K14" i="8"/>
  <c r="Y14" i="8"/>
  <c r="Z14" i="8"/>
  <c r="K15" i="8"/>
  <c r="Y15" i="8"/>
  <c r="Z15" i="8"/>
  <c r="F13" i="8"/>
  <c r="F14" i="8"/>
  <c r="F15" i="8"/>
  <c r="C6" i="8"/>
  <c r="D6" i="8"/>
  <c r="E6" i="8"/>
  <c r="F6" i="8"/>
  <c r="K6" i="8"/>
  <c r="Y6" i="8"/>
  <c r="Z6" i="8"/>
  <c r="AA6" i="8"/>
  <c r="AB6" i="8"/>
  <c r="AC6" i="8"/>
  <c r="AD6" i="8"/>
  <c r="AE6" i="8"/>
  <c r="AF6" i="8"/>
  <c r="AG6" i="8"/>
  <c r="AH6" i="8"/>
  <c r="C7" i="8"/>
  <c r="D7" i="8"/>
  <c r="E7" i="8"/>
  <c r="K7" i="8"/>
  <c r="Y7" i="8"/>
  <c r="Z7" i="8"/>
  <c r="AA7" i="8"/>
  <c r="AB7" i="8"/>
  <c r="AC7" i="8"/>
  <c r="AD7" i="8"/>
  <c r="AE7" i="8"/>
  <c r="AF7" i="8"/>
  <c r="AG7" i="8"/>
  <c r="AH7" i="8"/>
  <c r="C8" i="8"/>
  <c r="D8" i="8"/>
  <c r="E8" i="8"/>
  <c r="K8" i="8"/>
  <c r="Y8" i="8"/>
  <c r="Z8" i="8"/>
  <c r="AA8" i="8"/>
  <c r="AB8" i="8"/>
  <c r="AC8" i="8"/>
  <c r="AD8" i="8"/>
  <c r="AE8" i="8"/>
  <c r="AF8" i="8"/>
  <c r="AG8" i="8"/>
  <c r="AH8" i="8"/>
  <c r="C9" i="8"/>
  <c r="D9" i="8"/>
  <c r="E9" i="8"/>
  <c r="F9" i="8"/>
  <c r="K9" i="8"/>
  <c r="Y9" i="8"/>
  <c r="Z9" i="8"/>
  <c r="AA9" i="8"/>
  <c r="AB9" i="8"/>
  <c r="AC9" i="8"/>
  <c r="AD9" i="8"/>
  <c r="AE9" i="8"/>
  <c r="AF9" i="8"/>
  <c r="AG9" i="8"/>
  <c r="AH9" i="8"/>
  <c r="C10" i="8"/>
  <c r="D10" i="8"/>
  <c r="E10" i="8"/>
  <c r="F10" i="8"/>
  <c r="K10" i="8"/>
  <c r="Y10" i="8"/>
  <c r="Z10" i="8"/>
  <c r="AA10" i="8"/>
  <c r="AB10" i="8"/>
  <c r="AC10" i="8"/>
  <c r="AD10" i="8"/>
  <c r="AE10" i="8"/>
  <c r="AF10" i="8"/>
  <c r="AG10" i="8"/>
  <c r="AH10" i="8"/>
  <c r="K11" i="8"/>
  <c r="Y11" i="8"/>
  <c r="Z11" i="8"/>
  <c r="AA11" i="8"/>
  <c r="AB11" i="8"/>
  <c r="AC11" i="8"/>
  <c r="AD11" i="8"/>
  <c r="AE11" i="8"/>
  <c r="AF11" i="8"/>
  <c r="AG11" i="8"/>
  <c r="AH11" i="8"/>
  <c r="C12" i="8"/>
  <c r="D12" i="8"/>
  <c r="E12" i="8"/>
  <c r="F12" i="8"/>
  <c r="K12" i="8"/>
  <c r="Y12" i="8"/>
  <c r="Z12" i="8"/>
  <c r="AA12" i="8"/>
  <c r="AB12" i="8"/>
  <c r="AC12" i="8"/>
  <c r="AD12" i="8"/>
  <c r="AE12" i="8"/>
  <c r="AF12" i="8"/>
  <c r="AG12" i="8"/>
  <c r="AH12" i="8"/>
  <c r="C13" i="8"/>
  <c r="D13" i="8"/>
  <c r="E13" i="8"/>
  <c r="AA13" i="8"/>
  <c r="AB13" i="8"/>
  <c r="AC13" i="8"/>
  <c r="AD13" i="8"/>
  <c r="AE13" i="8"/>
  <c r="AF13" i="8"/>
  <c r="AG13" i="8"/>
  <c r="AH13" i="8"/>
  <c r="C14" i="8"/>
  <c r="E14" i="8"/>
  <c r="AA14" i="8"/>
  <c r="AB14" i="8"/>
  <c r="AC14" i="8"/>
  <c r="AD14" i="8"/>
  <c r="AE14" i="8"/>
  <c r="AF14" i="8"/>
  <c r="AG14" i="8"/>
  <c r="AH14" i="8"/>
  <c r="D15" i="8"/>
  <c r="E15" i="8"/>
  <c r="AA15" i="8"/>
  <c r="AB15" i="8"/>
  <c r="AC15" i="8"/>
  <c r="AD15" i="8"/>
  <c r="AE15" i="8"/>
  <c r="AF15" i="8"/>
  <c r="AG15" i="8"/>
  <c r="AH15" i="8"/>
  <c r="C16" i="8"/>
  <c r="D16" i="8"/>
  <c r="E16" i="8"/>
  <c r="F16" i="8"/>
  <c r="K16" i="8"/>
  <c r="Y16" i="8"/>
  <c r="Z16" i="8"/>
  <c r="AA16" i="8"/>
  <c r="AB16" i="8"/>
  <c r="AC16" i="8"/>
  <c r="AD16" i="8"/>
  <c r="AE16" i="8"/>
  <c r="AF16" i="8"/>
  <c r="AG16" i="8"/>
  <c r="AH16" i="8"/>
  <c r="C17" i="8"/>
  <c r="D17" i="8"/>
  <c r="E17" i="8"/>
  <c r="F17" i="8"/>
  <c r="K17" i="8"/>
  <c r="Y17" i="8"/>
  <c r="Z17" i="8"/>
  <c r="AA17" i="8"/>
  <c r="AB17" i="8"/>
  <c r="AC17" i="8"/>
  <c r="AD17" i="8"/>
  <c r="AE17" i="8"/>
  <c r="AF17" i="8"/>
  <c r="AG17" i="8"/>
  <c r="AH17" i="8"/>
  <c r="C18" i="8"/>
  <c r="D18" i="8"/>
  <c r="E18" i="8"/>
  <c r="F18" i="8"/>
  <c r="K18" i="8"/>
  <c r="Y18" i="8"/>
  <c r="Z18" i="8"/>
  <c r="AA18" i="8"/>
  <c r="AB18" i="8"/>
  <c r="AC18" i="8"/>
  <c r="AD18" i="8"/>
  <c r="AE18" i="8"/>
  <c r="AF18" i="8"/>
  <c r="AG18" i="8"/>
  <c r="AH18" i="8"/>
  <c r="C19" i="8"/>
  <c r="D19" i="8"/>
  <c r="E19" i="8"/>
  <c r="F19" i="8"/>
  <c r="K19" i="8"/>
  <c r="Y19" i="8"/>
  <c r="Z19" i="8"/>
  <c r="AA19" i="8"/>
  <c r="AB19" i="8"/>
  <c r="AC19" i="8"/>
  <c r="AD19" i="8"/>
  <c r="AE19" i="8"/>
  <c r="AF19" i="8"/>
  <c r="AG19" i="8"/>
  <c r="AH19" i="8"/>
  <c r="C20" i="8"/>
  <c r="D20" i="8"/>
  <c r="E20" i="8"/>
  <c r="F20" i="8"/>
  <c r="K20" i="8"/>
  <c r="Y20" i="8"/>
  <c r="Z20" i="8"/>
  <c r="AA20" i="8"/>
  <c r="AB20" i="8"/>
  <c r="AC20" i="8"/>
  <c r="AD20" i="8"/>
  <c r="AE20" i="8"/>
  <c r="AF20" i="8"/>
  <c r="AG20" i="8"/>
  <c r="AH20" i="8"/>
  <c r="C21" i="8"/>
  <c r="D21" i="8"/>
  <c r="E21" i="8"/>
  <c r="F21" i="8"/>
  <c r="K21" i="8"/>
  <c r="Y21" i="8"/>
  <c r="Z21" i="8"/>
  <c r="AA21" i="8"/>
  <c r="AB21" i="8"/>
  <c r="AC21" i="8"/>
  <c r="AD21" i="8"/>
  <c r="AE21" i="8"/>
  <c r="AF21" i="8"/>
  <c r="AG21" i="8"/>
  <c r="AH21" i="8"/>
  <c r="C22" i="8"/>
  <c r="D22" i="8"/>
  <c r="E22" i="8"/>
  <c r="F22" i="8"/>
  <c r="K22" i="8"/>
  <c r="Y22" i="8"/>
  <c r="Z22" i="8"/>
  <c r="AA22" i="8"/>
  <c r="AB22" i="8"/>
  <c r="AC22" i="8"/>
  <c r="AD22" i="8"/>
  <c r="AE22" i="8"/>
  <c r="AF22" i="8"/>
  <c r="AG22" i="8"/>
  <c r="AH22" i="8"/>
  <c r="C23" i="8"/>
  <c r="D23" i="8"/>
  <c r="E23" i="8"/>
  <c r="F23" i="8"/>
  <c r="K23" i="8"/>
  <c r="Y23" i="8"/>
  <c r="Z23" i="8"/>
  <c r="AA23" i="8"/>
  <c r="AB23" i="8"/>
  <c r="AC23" i="8"/>
  <c r="AD23" i="8"/>
  <c r="AE23" i="8"/>
  <c r="AF23" i="8"/>
  <c r="AG23" i="8"/>
  <c r="AH23" i="8"/>
  <c r="C24" i="8"/>
  <c r="D24" i="8"/>
  <c r="E24" i="8"/>
  <c r="F24" i="8"/>
  <c r="K24" i="8"/>
  <c r="Y24" i="8"/>
  <c r="Z24" i="8"/>
  <c r="AA24" i="8"/>
  <c r="AB24" i="8"/>
  <c r="AC24" i="8"/>
  <c r="AD24" i="8"/>
  <c r="AE24" i="8"/>
  <c r="AF24" i="8"/>
  <c r="AG24" i="8"/>
  <c r="AH24" i="8"/>
  <c r="C25" i="8"/>
  <c r="D25" i="8"/>
  <c r="E25" i="8"/>
  <c r="F25" i="8"/>
  <c r="K25" i="8"/>
  <c r="Y25" i="8"/>
  <c r="Z25" i="8"/>
  <c r="AA25" i="8"/>
  <c r="AB25" i="8"/>
  <c r="AC25" i="8"/>
  <c r="AD25" i="8"/>
  <c r="AE25" i="8"/>
  <c r="AF25" i="8"/>
  <c r="AG25" i="8"/>
  <c r="AH25" i="8"/>
  <c r="C26" i="8"/>
  <c r="D26" i="8"/>
  <c r="E26" i="8"/>
  <c r="F26" i="8"/>
  <c r="K26" i="8"/>
  <c r="Y26" i="8"/>
  <c r="Z26" i="8"/>
  <c r="AA26" i="8"/>
  <c r="AB26" i="8"/>
  <c r="AC26" i="8"/>
  <c r="AD26" i="8"/>
  <c r="AE26" i="8"/>
  <c r="AF26" i="8"/>
  <c r="AG26" i="8"/>
  <c r="AH26" i="8"/>
  <c r="C27" i="8"/>
  <c r="D27" i="8"/>
  <c r="E27" i="8"/>
  <c r="F27" i="8"/>
  <c r="K27" i="8"/>
  <c r="Y27" i="8"/>
  <c r="Z27" i="8"/>
  <c r="AA27" i="8"/>
  <c r="AB27" i="8"/>
  <c r="AC27" i="8"/>
  <c r="AD27" i="8"/>
  <c r="AE27" i="8"/>
  <c r="AF27" i="8"/>
  <c r="AG27" i="8"/>
  <c r="AH27" i="8"/>
  <c r="C28" i="8"/>
  <c r="D28" i="8"/>
  <c r="E28" i="8"/>
  <c r="F28" i="8"/>
  <c r="K28" i="8"/>
  <c r="Y28" i="8"/>
  <c r="Z28" i="8"/>
  <c r="AA28" i="8"/>
  <c r="AB28" i="8"/>
  <c r="AC28" i="8"/>
  <c r="AD28" i="8"/>
  <c r="AE28" i="8"/>
  <c r="AF28" i="8"/>
  <c r="AG28" i="8"/>
  <c r="AH28" i="8"/>
  <c r="C29" i="8"/>
  <c r="D29" i="8"/>
  <c r="E29" i="8"/>
  <c r="F29" i="8"/>
  <c r="K29" i="8"/>
  <c r="Y29" i="8"/>
  <c r="Z29" i="8"/>
  <c r="AA29" i="8"/>
  <c r="AB29" i="8"/>
  <c r="AC29" i="8"/>
  <c r="AD29" i="8"/>
  <c r="AE29" i="8"/>
  <c r="AF29" i="8"/>
  <c r="AG29" i="8"/>
  <c r="AH29" i="8"/>
  <c r="C30" i="8"/>
  <c r="D30" i="8"/>
  <c r="E30" i="8"/>
  <c r="F30" i="8"/>
  <c r="K30" i="8"/>
  <c r="Y30" i="8"/>
  <c r="Z30" i="8"/>
  <c r="AA30" i="8"/>
  <c r="AB30" i="8"/>
  <c r="AC30" i="8"/>
  <c r="AD30" i="8"/>
  <c r="AE30" i="8"/>
  <c r="AF30" i="8"/>
  <c r="AG30" i="8"/>
  <c r="AH30" i="8"/>
  <c r="C31" i="8"/>
  <c r="D31" i="8"/>
  <c r="E31" i="8"/>
  <c r="F31" i="8"/>
  <c r="K31" i="8"/>
  <c r="Y31" i="8"/>
  <c r="Z31" i="8"/>
  <c r="AA31" i="8"/>
  <c r="AB31" i="8"/>
  <c r="AC31" i="8"/>
  <c r="AD31" i="8"/>
  <c r="AE31" i="8"/>
  <c r="AF31" i="8"/>
  <c r="AG31" i="8"/>
  <c r="AH31" i="8"/>
  <c r="C32" i="8"/>
  <c r="D32" i="8"/>
  <c r="E32" i="8"/>
  <c r="F32" i="8"/>
  <c r="K32" i="8"/>
  <c r="Y32" i="8"/>
  <c r="Z32" i="8"/>
  <c r="AA32" i="8"/>
  <c r="AB32" i="8"/>
  <c r="AC32" i="8"/>
  <c r="AD32" i="8"/>
  <c r="AE32" i="8"/>
  <c r="AF32" i="8"/>
  <c r="AG32" i="8"/>
  <c r="AH32" i="8"/>
  <c r="C33" i="8"/>
  <c r="D33" i="8"/>
  <c r="E33" i="8"/>
  <c r="F33" i="8"/>
  <c r="K33" i="8"/>
  <c r="Y33" i="8"/>
  <c r="Z33" i="8"/>
  <c r="AA33" i="8"/>
  <c r="AB33" i="8"/>
  <c r="AC33" i="8"/>
  <c r="AD33" i="8"/>
  <c r="AE33" i="8"/>
  <c r="AF33" i="8"/>
  <c r="AG33" i="8"/>
  <c r="AH33" i="8"/>
  <c r="C34" i="8"/>
  <c r="D34" i="8"/>
  <c r="E34" i="8"/>
  <c r="F34" i="8"/>
  <c r="K34" i="8"/>
  <c r="Y34" i="8"/>
  <c r="Z34" i="8"/>
  <c r="AA34" i="8"/>
  <c r="AB34" i="8"/>
  <c r="AC34" i="8"/>
  <c r="AD34" i="8"/>
  <c r="AE34" i="8"/>
  <c r="AF34" i="8"/>
  <c r="AG34" i="8"/>
  <c r="AH34" i="8"/>
  <c r="C35" i="8"/>
  <c r="D35" i="8"/>
  <c r="E35" i="8"/>
  <c r="F35" i="8"/>
  <c r="K35" i="8"/>
  <c r="Y35" i="8"/>
  <c r="Z35" i="8"/>
  <c r="AA35" i="8"/>
  <c r="AB35" i="8"/>
  <c r="AC35" i="8"/>
  <c r="AD35" i="8"/>
  <c r="AE35" i="8"/>
  <c r="AF35" i="8"/>
  <c r="AG35" i="8"/>
  <c r="AH35" i="8"/>
  <c r="C36" i="8"/>
  <c r="D36" i="8"/>
  <c r="E36" i="8"/>
  <c r="F36" i="8"/>
  <c r="K36" i="8"/>
  <c r="Y36" i="8"/>
  <c r="Z36" i="8"/>
  <c r="AA36" i="8"/>
  <c r="AB36" i="8"/>
  <c r="AC36" i="8"/>
  <c r="AD36" i="8"/>
  <c r="AE36" i="8"/>
  <c r="AF36" i="8"/>
  <c r="AG36" i="8"/>
  <c r="AH36" i="8"/>
  <c r="C37" i="8"/>
  <c r="D37" i="8"/>
  <c r="E37" i="8"/>
  <c r="F37" i="8"/>
  <c r="K37" i="8"/>
  <c r="Y37" i="8"/>
  <c r="Z37" i="8"/>
  <c r="AA37" i="8"/>
  <c r="AB37" i="8"/>
  <c r="AC37" i="8"/>
  <c r="AD37" i="8"/>
  <c r="AE37" i="8"/>
  <c r="AF37" i="8"/>
  <c r="AG37" i="8"/>
  <c r="AH37" i="8"/>
  <c r="K55" i="6"/>
  <c r="Y55" i="6"/>
  <c r="Z55" i="6"/>
  <c r="AA55" i="6"/>
  <c r="AB55" i="6"/>
  <c r="AC55" i="6"/>
  <c r="AD55" i="6"/>
  <c r="AE55" i="6"/>
  <c r="AF55" i="6"/>
  <c r="AG55" i="6"/>
  <c r="AH55" i="6"/>
  <c r="K39" i="6"/>
  <c r="Y39" i="6"/>
  <c r="Z39" i="6"/>
  <c r="AA39" i="6"/>
  <c r="AB39" i="6"/>
  <c r="AC39" i="6"/>
  <c r="AD39" i="6"/>
  <c r="AE39" i="6"/>
  <c r="AF39" i="6"/>
  <c r="AG39" i="6"/>
  <c r="AH39" i="6"/>
  <c r="K41" i="6"/>
  <c r="Y41" i="6"/>
  <c r="Z41" i="6"/>
  <c r="AA41" i="6"/>
  <c r="AB41" i="6"/>
  <c r="AC41" i="6"/>
  <c r="AD41" i="6"/>
  <c r="AE41" i="6"/>
  <c r="AF41" i="6"/>
  <c r="AG41" i="6"/>
  <c r="AH41" i="6"/>
  <c r="K56" i="6"/>
  <c r="Y56" i="6"/>
  <c r="Z56" i="6"/>
  <c r="AA56" i="6"/>
  <c r="AB56" i="6"/>
  <c r="AC56" i="6"/>
  <c r="AD56" i="6"/>
  <c r="AE56" i="6"/>
  <c r="AF56" i="6"/>
  <c r="AG56" i="6"/>
  <c r="AH56" i="6"/>
  <c r="C28" i="9"/>
  <c r="D28" i="9"/>
  <c r="E28" i="9"/>
  <c r="K28" i="9"/>
  <c r="Y28" i="9"/>
  <c r="Z28" i="9"/>
  <c r="AA28" i="9"/>
  <c r="AB28" i="9"/>
  <c r="AC28" i="9"/>
  <c r="AD28" i="9"/>
  <c r="AE28" i="9"/>
  <c r="AF28" i="9"/>
  <c r="AG28" i="9"/>
  <c r="AH28" i="9"/>
  <c r="C33" i="6"/>
  <c r="D33" i="6"/>
  <c r="E33" i="6"/>
  <c r="C35" i="6"/>
  <c r="D35" i="6"/>
  <c r="E35" i="6"/>
  <c r="AH18" i="6"/>
  <c r="AH10" i="6"/>
  <c r="AH6" i="6"/>
  <c r="AH4" i="6"/>
  <c r="AH9" i="6"/>
  <c r="AH13" i="6"/>
  <c r="AH16" i="6"/>
  <c r="AH14" i="6"/>
  <c r="K37" i="9"/>
  <c r="Y37" i="9"/>
  <c r="Z37" i="9"/>
  <c r="AA37" i="9"/>
  <c r="AB37" i="9"/>
  <c r="AC37" i="9"/>
  <c r="AD37" i="9"/>
  <c r="AE37" i="9"/>
  <c r="AF37" i="9"/>
  <c r="AG37" i="9"/>
  <c r="AH37" i="9"/>
  <c r="K36" i="9"/>
  <c r="Y36" i="9"/>
  <c r="Z36" i="9"/>
  <c r="AA36" i="9"/>
  <c r="AB36" i="9"/>
  <c r="AC36" i="9"/>
  <c r="AD36" i="9"/>
  <c r="AE36" i="9"/>
  <c r="AF36" i="9"/>
  <c r="AG36" i="9"/>
  <c r="AH36" i="9"/>
  <c r="C35" i="9"/>
  <c r="D35" i="9"/>
  <c r="E35" i="9"/>
  <c r="F35" i="9"/>
  <c r="K35" i="9"/>
  <c r="Y35" i="9"/>
  <c r="Z35" i="9"/>
  <c r="AA35" i="9"/>
  <c r="AB35" i="9"/>
  <c r="AC35" i="9"/>
  <c r="AD35" i="9"/>
  <c r="AE35" i="9"/>
  <c r="AF35" i="9"/>
  <c r="AG35" i="9"/>
  <c r="AH35" i="9"/>
  <c r="K38" i="5"/>
  <c r="Y38" i="5"/>
  <c r="Z38" i="5"/>
  <c r="AA38" i="5"/>
  <c r="AB38" i="5"/>
  <c r="AC38" i="5"/>
  <c r="AD38" i="5"/>
  <c r="AE38" i="5"/>
  <c r="AF38" i="5"/>
  <c r="AG38" i="5"/>
  <c r="AH38" i="5"/>
  <c r="C34" i="5"/>
  <c r="D34" i="5"/>
  <c r="E34" i="5"/>
  <c r="K34" i="5"/>
  <c r="Y34" i="5"/>
  <c r="Z34" i="5"/>
  <c r="AA34" i="5"/>
  <c r="AB34" i="5"/>
  <c r="AC34" i="5"/>
  <c r="AD34" i="5"/>
  <c r="AE34" i="5"/>
  <c r="AF34" i="5"/>
  <c r="AG34" i="5"/>
  <c r="AH34" i="5"/>
  <c r="C35" i="5"/>
  <c r="D35" i="5"/>
  <c r="E35" i="5"/>
  <c r="F35" i="5"/>
  <c r="K35" i="5"/>
  <c r="Y35" i="5"/>
  <c r="Z35" i="5"/>
  <c r="AA35" i="5"/>
  <c r="AB35" i="5"/>
  <c r="AC35" i="5"/>
  <c r="AD35" i="5"/>
  <c r="AE35" i="5"/>
  <c r="AF35" i="5"/>
  <c r="AG35" i="5"/>
  <c r="AH35" i="5"/>
  <c r="C31" i="5"/>
  <c r="D31" i="5"/>
  <c r="E31" i="5"/>
  <c r="F31" i="5"/>
  <c r="K31" i="5"/>
  <c r="Y31" i="5"/>
  <c r="Z31" i="5"/>
  <c r="AA31" i="5"/>
  <c r="AB31" i="5"/>
  <c r="AC31" i="5"/>
  <c r="AD31" i="5"/>
  <c r="AE31" i="5"/>
  <c r="AF31" i="5"/>
  <c r="AG31" i="5"/>
  <c r="AH31" i="5"/>
  <c r="C50" i="5"/>
  <c r="D50" i="5"/>
  <c r="E50" i="5"/>
  <c r="F50" i="5"/>
  <c r="K50" i="5"/>
  <c r="Y50" i="5"/>
  <c r="Z50" i="5"/>
  <c r="AA50" i="5"/>
  <c r="AB50" i="5"/>
  <c r="AC50" i="5"/>
  <c r="AD50" i="5"/>
  <c r="AE50" i="5"/>
  <c r="AF50" i="5"/>
  <c r="AG50" i="5"/>
  <c r="AH50" i="5"/>
  <c r="Y25" i="5"/>
  <c r="C25" i="5"/>
  <c r="D25" i="5"/>
  <c r="E25" i="5"/>
  <c r="F25" i="5"/>
  <c r="K25" i="5"/>
  <c r="Z25" i="5"/>
  <c r="AA25" i="5"/>
  <c r="AB25" i="5"/>
  <c r="AC25" i="5"/>
  <c r="AD25" i="5"/>
  <c r="AE25" i="5"/>
  <c r="AF25" i="5"/>
  <c r="AG25" i="5"/>
  <c r="AH25" i="5"/>
  <c r="Y28" i="10"/>
  <c r="K28" i="10"/>
  <c r="Z28" i="10"/>
  <c r="AA28" i="10"/>
  <c r="AB28" i="10"/>
  <c r="AC28" i="10"/>
  <c r="AD28" i="10"/>
  <c r="AE28" i="10"/>
  <c r="AF28" i="10"/>
  <c r="AG28" i="10"/>
  <c r="AH28" i="10"/>
  <c r="C49" i="5"/>
  <c r="E49" i="5"/>
  <c r="F49" i="5"/>
  <c r="K49" i="5"/>
  <c r="Y49" i="5"/>
  <c r="Z49" i="5"/>
  <c r="AA49" i="5"/>
  <c r="AB49" i="5"/>
  <c r="AC49" i="5"/>
  <c r="AD49" i="5"/>
  <c r="AE49" i="5"/>
  <c r="AF49" i="5"/>
  <c r="AG49" i="5"/>
  <c r="AH49" i="5"/>
  <c r="F29" i="7"/>
  <c r="F30" i="7"/>
  <c r="F19" i="7"/>
  <c r="F38" i="7"/>
  <c r="F12" i="7"/>
  <c r="F23" i="7"/>
  <c r="F7" i="7"/>
  <c r="F9" i="7"/>
  <c r="F14" i="7"/>
  <c r="F5" i="7"/>
  <c r="F6" i="7"/>
  <c r="F11" i="7"/>
  <c r="F21" i="7"/>
  <c r="F24" i="7"/>
  <c r="F15" i="7"/>
  <c r="F31" i="7"/>
  <c r="F39" i="7"/>
  <c r="F34" i="7"/>
  <c r="F35" i="7"/>
  <c r="F36" i="7"/>
  <c r="F28" i="7"/>
  <c r="F40" i="7"/>
  <c r="F37" i="7"/>
  <c r="E29" i="7"/>
  <c r="E30" i="7"/>
  <c r="E19" i="7"/>
  <c r="E38" i="7"/>
  <c r="E10" i="7"/>
  <c r="E12" i="7"/>
  <c r="E23" i="7"/>
  <c r="E7" i="7"/>
  <c r="E9" i="7"/>
  <c r="E5" i="7"/>
  <c r="E6" i="7"/>
  <c r="E11" i="7"/>
  <c r="E21" i="7"/>
  <c r="E24" i="7"/>
  <c r="E15" i="7"/>
  <c r="E31" i="7"/>
  <c r="E39" i="7"/>
  <c r="E34" i="7"/>
  <c r="E25" i="7"/>
  <c r="E35" i="7"/>
  <c r="E27" i="7"/>
  <c r="E36" i="7"/>
  <c r="E28" i="7"/>
  <c r="E40" i="7"/>
  <c r="D37" i="7"/>
  <c r="D40" i="7"/>
  <c r="D28" i="7"/>
  <c r="D36" i="7"/>
  <c r="D27" i="7"/>
  <c r="D35" i="7"/>
  <c r="D25" i="7"/>
  <c r="D15" i="7"/>
  <c r="D24" i="7"/>
  <c r="D21" i="7"/>
  <c r="D11" i="7"/>
  <c r="D6" i="7"/>
  <c r="D5" i="7"/>
  <c r="D14" i="7"/>
  <c r="D9" i="7"/>
  <c r="D7" i="7"/>
  <c r="D23" i="7"/>
  <c r="D12" i="7"/>
  <c r="D10" i="7"/>
  <c r="D38" i="7"/>
  <c r="D4" i="7"/>
  <c r="D19" i="7"/>
  <c r="D30" i="7"/>
  <c r="D29" i="7"/>
  <c r="C37" i="7"/>
  <c r="C40" i="7"/>
  <c r="C28" i="7"/>
  <c r="C36" i="7"/>
  <c r="C27" i="7"/>
  <c r="C35" i="7"/>
  <c r="C25" i="7"/>
  <c r="C34" i="7"/>
  <c r="C31" i="7"/>
  <c r="C15" i="7"/>
  <c r="C24" i="7"/>
  <c r="C21" i="7"/>
  <c r="C11" i="7"/>
  <c r="C6" i="7"/>
  <c r="C5" i="7"/>
  <c r="C14" i="7"/>
  <c r="C9" i="7"/>
  <c r="C7" i="7"/>
  <c r="C23" i="7"/>
  <c r="C12" i="7"/>
  <c r="C10" i="7"/>
  <c r="C38" i="7"/>
  <c r="C4" i="7"/>
  <c r="C19" i="7"/>
  <c r="C30" i="7"/>
  <c r="C29" i="7"/>
  <c r="AI25" i="8" l="1"/>
  <c r="AI21" i="8"/>
  <c r="AI27" i="8"/>
  <c r="AI30" i="8"/>
  <c r="AJ30" i="8" s="1"/>
  <c r="AI28" i="8"/>
  <c r="AJ28" i="8" s="1"/>
  <c r="AI26" i="8"/>
  <c r="AJ26" i="8" s="1"/>
  <c r="AI40" i="6"/>
  <c r="AJ40" i="6" s="1"/>
  <c r="AI38" i="6"/>
  <c r="AJ38" i="6" s="1"/>
  <c r="AJ25" i="8"/>
  <c r="AJ27" i="8"/>
  <c r="AI29" i="8"/>
  <c r="AJ29" i="8" s="1"/>
  <c r="AI23" i="8"/>
  <c r="AJ23" i="8" s="1"/>
  <c r="AI22" i="8"/>
  <c r="AJ22" i="8" s="1"/>
  <c r="AJ21" i="8"/>
  <c r="AI13" i="8"/>
  <c r="AJ13" i="8" s="1"/>
  <c r="AI35" i="8"/>
  <c r="AJ35" i="8" s="1"/>
  <c r="AI6" i="8"/>
  <c r="AJ6" i="8" s="1"/>
  <c r="AI31" i="8"/>
  <c r="AJ31" i="8" s="1"/>
  <c r="AI12" i="8"/>
  <c r="AJ12" i="8" s="1"/>
  <c r="AI34" i="8"/>
  <c r="AJ34" i="8" s="1"/>
  <c r="AI17" i="8"/>
  <c r="AJ17" i="8" s="1"/>
  <c r="AI16" i="8"/>
  <c r="AJ16" i="8" s="1"/>
  <c r="AI24" i="8"/>
  <c r="AJ24" i="8" s="1"/>
  <c r="AI8" i="8"/>
  <c r="AJ8" i="8" s="1"/>
  <c r="AI14" i="8"/>
  <c r="AJ14" i="8" s="1"/>
  <c r="AI33" i="8"/>
  <c r="AJ33" i="8" s="1"/>
  <c r="AI11" i="8"/>
  <c r="AJ11" i="8" s="1"/>
  <c r="AI36" i="8"/>
  <c r="AJ36" i="8" s="1"/>
  <c r="AI15" i="8"/>
  <c r="AJ15" i="8" s="1"/>
  <c r="AI7" i="8"/>
  <c r="AJ7" i="8" s="1"/>
  <c r="AI19" i="8"/>
  <c r="AJ19" i="8" s="1"/>
  <c r="AI9" i="8"/>
  <c r="AJ9" i="8" s="1"/>
  <c r="AI32" i="8"/>
  <c r="AJ32" i="8" s="1"/>
  <c r="AI37" i="8"/>
  <c r="AJ37" i="8" s="1"/>
  <c r="AI18" i="8"/>
  <c r="AJ18" i="8" s="1"/>
  <c r="AI20" i="8"/>
  <c r="AJ20" i="8" s="1"/>
  <c r="AI10" i="8"/>
  <c r="AJ10" i="8" s="1"/>
  <c r="AI39" i="6"/>
  <c r="AJ39" i="6" s="1"/>
  <c r="AI41" i="6"/>
  <c r="AJ41" i="6" s="1"/>
  <c r="AI56" i="6"/>
  <c r="AJ56" i="6" s="1"/>
  <c r="AI55" i="6"/>
  <c r="AJ55" i="6"/>
  <c r="AI28" i="9"/>
  <c r="AJ28" i="9" s="1"/>
  <c r="AI37" i="9"/>
  <c r="AJ37" i="9" s="1"/>
  <c r="AI36" i="9"/>
  <c r="AJ36" i="9" s="1"/>
  <c r="AI35" i="9"/>
  <c r="AJ35" i="9" s="1"/>
  <c r="AI38" i="5"/>
  <c r="AJ38" i="5" s="1"/>
  <c r="AI34" i="5"/>
  <c r="AJ34" i="5" s="1"/>
  <c r="AI35" i="5"/>
  <c r="AJ35" i="5" s="1"/>
  <c r="AI31" i="5"/>
  <c r="AJ31" i="5" s="1"/>
  <c r="AI50" i="5"/>
  <c r="AJ50" i="5" s="1"/>
  <c r="AI25" i="5"/>
  <c r="AJ25" i="5" s="1"/>
  <c r="AI28" i="10"/>
  <c r="AJ28" i="10" s="1"/>
  <c r="AI49" i="5"/>
  <c r="AJ49" i="5" s="1"/>
  <c r="AH11" i="5"/>
  <c r="AH19" i="5"/>
  <c r="Y5" i="10"/>
  <c r="Z5" i="10"/>
  <c r="AA5" i="10"/>
  <c r="AB5" i="10"/>
  <c r="AC5" i="10"/>
  <c r="AD5" i="10"/>
  <c r="AE5" i="10"/>
  <c r="AF5" i="10"/>
  <c r="AG5" i="10"/>
  <c r="AH5" i="10"/>
  <c r="Y4" i="10"/>
  <c r="Z4" i="10"/>
  <c r="AA4" i="10"/>
  <c r="AB4" i="10"/>
  <c r="AC4" i="10"/>
  <c r="AD4" i="10"/>
  <c r="AE4" i="10"/>
  <c r="AF4" i="10"/>
  <c r="AG4" i="10"/>
  <c r="Y16" i="10"/>
  <c r="Z16" i="10"/>
  <c r="AA16" i="10"/>
  <c r="AB16" i="10"/>
  <c r="AC16" i="10"/>
  <c r="AD16" i="10"/>
  <c r="AE16" i="10"/>
  <c r="AF16" i="10"/>
  <c r="AG16" i="10"/>
  <c r="AH16" i="10"/>
  <c r="Y17" i="10"/>
  <c r="Z17" i="10"/>
  <c r="AA17" i="10"/>
  <c r="AB17" i="10"/>
  <c r="AC17" i="10"/>
  <c r="AD17" i="10"/>
  <c r="AE17" i="10"/>
  <c r="AF17" i="10"/>
  <c r="AG17" i="10"/>
  <c r="AH17" i="10"/>
  <c r="Y14" i="10"/>
  <c r="Z14" i="10"/>
  <c r="AA14" i="10"/>
  <c r="AB14" i="10"/>
  <c r="AC14" i="10"/>
  <c r="AD14" i="10"/>
  <c r="AE14" i="10"/>
  <c r="AF14" i="10"/>
  <c r="AG14" i="10"/>
  <c r="AH14" i="10"/>
  <c r="Y19" i="10"/>
  <c r="Z19" i="10"/>
  <c r="AA19" i="10"/>
  <c r="AB19" i="10"/>
  <c r="AC19" i="10"/>
  <c r="AD19" i="10"/>
  <c r="AE19" i="10"/>
  <c r="AF19" i="10"/>
  <c r="AG19" i="10"/>
  <c r="AH19" i="10"/>
  <c r="Y25" i="10"/>
  <c r="Z25" i="10"/>
  <c r="AA25" i="10"/>
  <c r="AB25" i="10"/>
  <c r="AC25" i="10"/>
  <c r="AD25" i="10"/>
  <c r="AE25" i="10"/>
  <c r="AF25" i="10"/>
  <c r="AG25" i="10"/>
  <c r="AH25" i="10"/>
  <c r="Y26" i="10"/>
  <c r="Z26" i="10"/>
  <c r="AA26" i="10"/>
  <c r="AB26" i="10"/>
  <c r="AC26" i="10"/>
  <c r="AD26" i="10"/>
  <c r="AE26" i="10"/>
  <c r="AF26" i="10"/>
  <c r="AG26" i="10"/>
  <c r="AH26" i="10"/>
  <c r="Y27" i="10"/>
  <c r="Z27" i="10"/>
  <c r="AA27" i="10"/>
  <c r="AB27" i="10"/>
  <c r="AC27" i="10"/>
  <c r="AD27" i="10"/>
  <c r="AE27" i="10"/>
  <c r="AF27" i="10"/>
  <c r="AG27" i="10"/>
  <c r="AH27" i="10"/>
  <c r="K5" i="10"/>
  <c r="K4" i="10"/>
  <c r="K16" i="10"/>
  <c r="K17" i="10"/>
  <c r="C17" i="12"/>
  <c r="C20" i="12"/>
  <c r="C5" i="8"/>
  <c r="D5" i="8"/>
  <c r="E5" i="8"/>
  <c r="F4" i="8"/>
  <c r="E4" i="8"/>
  <c r="D4" i="8"/>
  <c r="C4" i="8"/>
  <c r="C4" i="9"/>
  <c r="C5" i="9"/>
  <c r="C7" i="9"/>
  <c r="C9" i="9"/>
  <c r="C15" i="9"/>
  <c r="C17" i="9"/>
  <c r="C6" i="9"/>
  <c r="C12" i="9"/>
  <c r="C24" i="9"/>
  <c r="C27" i="9"/>
  <c r="C49" i="9"/>
  <c r="C14" i="9"/>
  <c r="C16" i="9"/>
  <c r="C13" i="9"/>
  <c r="C34" i="9"/>
  <c r="C44" i="9"/>
  <c r="C19" i="9"/>
  <c r="C25" i="9"/>
  <c r="C39" i="9"/>
  <c r="C45" i="9"/>
  <c r="C40" i="9"/>
  <c r="C41" i="9"/>
  <c r="C46" i="9"/>
  <c r="C42" i="9"/>
  <c r="C10" i="9"/>
  <c r="C26" i="9"/>
  <c r="C29" i="9"/>
  <c r="C20" i="9"/>
  <c r="C11" i="9"/>
  <c r="C31" i="9"/>
  <c r="C21" i="9"/>
  <c r="C33" i="9"/>
  <c r="C30" i="9"/>
  <c r="C23" i="9"/>
  <c r="C8" i="9"/>
  <c r="C32" i="9"/>
  <c r="C43" i="9"/>
  <c r="C38" i="9"/>
  <c r="C50" i="9"/>
  <c r="C51" i="9"/>
  <c r="D4" i="9"/>
  <c r="D5" i="9"/>
  <c r="D7" i="9"/>
  <c r="D9" i="9"/>
  <c r="D15" i="9"/>
  <c r="D17" i="9"/>
  <c r="D6" i="9"/>
  <c r="D12" i="9"/>
  <c r="D24" i="9"/>
  <c r="D27" i="9"/>
  <c r="D49" i="9"/>
  <c r="D16" i="9"/>
  <c r="D13" i="9"/>
  <c r="D34" i="9"/>
  <c r="D44" i="9"/>
  <c r="D19" i="9"/>
  <c r="D25" i="9"/>
  <c r="D39" i="9"/>
  <c r="D45" i="9"/>
  <c r="D40" i="9"/>
  <c r="D41" i="9"/>
  <c r="D46" i="9"/>
  <c r="D42" i="9"/>
  <c r="D10" i="9"/>
  <c r="D26" i="9"/>
  <c r="D29" i="9"/>
  <c r="D20" i="9"/>
  <c r="D11" i="9"/>
  <c r="D31" i="9"/>
  <c r="D21" i="9"/>
  <c r="D33" i="9"/>
  <c r="D30" i="9"/>
  <c r="D23" i="9"/>
  <c r="D8" i="9"/>
  <c r="D32" i="9"/>
  <c r="D43" i="9"/>
  <c r="D38" i="9"/>
  <c r="D50" i="9"/>
  <c r="D51" i="9"/>
  <c r="E4" i="9"/>
  <c r="E5" i="9"/>
  <c r="E7" i="9"/>
  <c r="E9" i="9"/>
  <c r="E15" i="9"/>
  <c r="E17" i="9"/>
  <c r="E6" i="9"/>
  <c r="E12" i="9"/>
  <c r="E24" i="9"/>
  <c r="E27" i="9"/>
  <c r="E49" i="9"/>
  <c r="E14" i="9"/>
  <c r="E16" i="9"/>
  <c r="E13" i="9"/>
  <c r="E34" i="9"/>
  <c r="E44" i="9"/>
  <c r="E19" i="9"/>
  <c r="E25" i="9"/>
  <c r="E39" i="9"/>
  <c r="E45" i="9"/>
  <c r="E40" i="9"/>
  <c r="E41" i="9"/>
  <c r="E46" i="9"/>
  <c r="E42" i="9"/>
  <c r="E10" i="9"/>
  <c r="E26" i="9"/>
  <c r="E29" i="9"/>
  <c r="E20" i="9"/>
  <c r="E11" i="9"/>
  <c r="E31" i="9"/>
  <c r="E21" i="9"/>
  <c r="E33" i="9"/>
  <c r="E30" i="9"/>
  <c r="E23" i="9"/>
  <c r="E8" i="9"/>
  <c r="E32" i="9"/>
  <c r="E43" i="9"/>
  <c r="E38" i="9"/>
  <c r="E50" i="9"/>
  <c r="E51" i="9"/>
  <c r="F4" i="9"/>
  <c r="F5" i="9"/>
  <c r="F7" i="9"/>
  <c r="F9" i="9"/>
  <c r="F15" i="9"/>
  <c r="F17" i="9"/>
  <c r="F12" i="9"/>
  <c r="F24" i="9"/>
  <c r="F49" i="9"/>
  <c r="F14" i="9"/>
  <c r="F16" i="9"/>
  <c r="F13" i="9"/>
  <c r="F34" i="9"/>
  <c r="F44" i="9"/>
  <c r="F19" i="9"/>
  <c r="F25" i="9"/>
  <c r="F39" i="9"/>
  <c r="F45" i="9"/>
  <c r="F40" i="9"/>
  <c r="F41" i="9"/>
  <c r="F46" i="9"/>
  <c r="F42" i="9"/>
  <c r="F26" i="9"/>
  <c r="F29" i="9"/>
  <c r="F20" i="9"/>
  <c r="F31" i="9"/>
  <c r="F21" i="9"/>
  <c r="F33" i="9"/>
  <c r="F30" i="9"/>
  <c r="F23" i="9"/>
  <c r="F8" i="9"/>
  <c r="F32" i="9"/>
  <c r="F43" i="9"/>
  <c r="F38" i="9"/>
  <c r="F50" i="9"/>
  <c r="F51" i="9"/>
  <c r="F35" i="10"/>
  <c r="F36" i="10"/>
  <c r="F37" i="10"/>
  <c r="F38" i="10"/>
  <c r="F39" i="10"/>
  <c r="F40" i="10"/>
  <c r="F41" i="10"/>
  <c r="F42" i="10"/>
  <c r="F43" i="10"/>
  <c r="E35" i="10"/>
  <c r="E36" i="10"/>
  <c r="E37" i="10"/>
  <c r="E38" i="10"/>
  <c r="E39" i="10"/>
  <c r="E40" i="10"/>
  <c r="E41" i="10"/>
  <c r="E42" i="10"/>
  <c r="E43" i="10"/>
  <c r="D35" i="10"/>
  <c r="D36" i="10"/>
  <c r="D37" i="10"/>
  <c r="D38" i="10"/>
  <c r="D39" i="10"/>
  <c r="D40" i="10"/>
  <c r="D41" i="10"/>
  <c r="D42" i="10"/>
  <c r="D43" i="10"/>
  <c r="C7" i="5"/>
  <c r="C4" i="5"/>
  <c r="C18" i="5"/>
  <c r="C8" i="5"/>
  <c r="C9" i="5"/>
  <c r="C27" i="5"/>
  <c r="C11" i="5"/>
  <c r="C5" i="5"/>
  <c r="C15" i="5"/>
  <c r="C12" i="5"/>
  <c r="C13" i="5"/>
  <c r="C14" i="5"/>
  <c r="C16" i="5"/>
  <c r="C17" i="5"/>
  <c r="C19" i="5"/>
  <c r="C10" i="5"/>
  <c r="C21" i="5"/>
  <c r="C28" i="5"/>
  <c r="C33" i="5"/>
  <c r="C36" i="5"/>
  <c r="C22" i="5"/>
  <c r="C48" i="5"/>
  <c r="C41" i="5"/>
  <c r="C46" i="5"/>
  <c r="C26" i="5"/>
  <c r="C20" i="5"/>
  <c r="C32" i="5"/>
  <c r="C30" i="5"/>
  <c r="C23" i="5"/>
  <c r="C37" i="5"/>
  <c r="C6" i="5"/>
  <c r="C24" i="5"/>
  <c r="C29" i="5"/>
  <c r="C39" i="5"/>
  <c r="C47" i="5"/>
  <c r="C42" i="5"/>
  <c r="C43" i="5"/>
  <c r="C40" i="5"/>
  <c r="C44" i="5"/>
  <c r="C45" i="5"/>
  <c r="D7" i="5"/>
  <c r="D4" i="5"/>
  <c r="D18" i="5"/>
  <c r="D8" i="5"/>
  <c r="D9" i="5"/>
  <c r="D27" i="5"/>
  <c r="D11" i="5"/>
  <c r="D5" i="5"/>
  <c r="D15" i="5"/>
  <c r="D12" i="5"/>
  <c r="D13" i="5"/>
  <c r="D14" i="5"/>
  <c r="D16" i="5"/>
  <c r="D17" i="5"/>
  <c r="D19" i="5"/>
  <c r="D10" i="5"/>
  <c r="D21" i="5"/>
  <c r="D28" i="5"/>
  <c r="D33" i="5"/>
  <c r="D36" i="5"/>
  <c r="D22" i="5"/>
  <c r="D48" i="5"/>
  <c r="D41" i="5"/>
  <c r="D46" i="5"/>
  <c r="D26" i="5"/>
  <c r="D32" i="5"/>
  <c r="D30" i="5"/>
  <c r="D23" i="5"/>
  <c r="D37" i="5"/>
  <c r="D6" i="5"/>
  <c r="D24" i="5"/>
  <c r="D29" i="5"/>
  <c r="D39" i="5"/>
  <c r="D47" i="5"/>
  <c r="D42" i="5"/>
  <c r="D43" i="5"/>
  <c r="D40" i="5"/>
  <c r="D44" i="5"/>
  <c r="D45" i="5"/>
  <c r="E7" i="5"/>
  <c r="E4" i="5"/>
  <c r="E18" i="5"/>
  <c r="E8" i="5"/>
  <c r="E9" i="5"/>
  <c r="E27" i="5"/>
  <c r="E11" i="5"/>
  <c r="E5" i="5"/>
  <c r="E15" i="5"/>
  <c r="E12" i="5"/>
  <c r="E13" i="5"/>
  <c r="E14" i="5"/>
  <c r="E16" i="5"/>
  <c r="E17" i="5"/>
  <c r="E19" i="5"/>
  <c r="E10" i="5"/>
  <c r="E21" i="5"/>
  <c r="E28" i="5"/>
  <c r="E33" i="5"/>
  <c r="E36" i="5"/>
  <c r="E22" i="5"/>
  <c r="E48" i="5"/>
  <c r="E41" i="5"/>
  <c r="E46" i="5"/>
  <c r="E26" i="5"/>
  <c r="E20" i="5"/>
  <c r="E32" i="5"/>
  <c r="E30" i="5"/>
  <c r="E23" i="5"/>
  <c r="E37" i="5"/>
  <c r="E6" i="5"/>
  <c r="E24" i="5"/>
  <c r="E29" i="5"/>
  <c r="E39" i="5"/>
  <c r="E47" i="5"/>
  <c r="E42" i="5"/>
  <c r="E43" i="5"/>
  <c r="E40" i="5"/>
  <c r="E44" i="5"/>
  <c r="E45" i="5"/>
  <c r="F7" i="5"/>
  <c r="F18" i="5"/>
  <c r="F8" i="5"/>
  <c r="F9" i="5"/>
  <c r="F27" i="5"/>
  <c r="F11" i="5"/>
  <c r="F5" i="5"/>
  <c r="F15" i="5"/>
  <c r="F12" i="5"/>
  <c r="F13" i="5"/>
  <c r="F17" i="5"/>
  <c r="F19" i="5"/>
  <c r="F10" i="5"/>
  <c r="F21" i="5"/>
  <c r="F28" i="5"/>
  <c r="F33" i="5"/>
  <c r="F36" i="5"/>
  <c r="F48" i="5"/>
  <c r="F41" i="5"/>
  <c r="F46" i="5"/>
  <c r="F26" i="5"/>
  <c r="F20" i="5"/>
  <c r="F32" i="5"/>
  <c r="F30" i="5"/>
  <c r="F23" i="5"/>
  <c r="F37" i="5"/>
  <c r="F24" i="5"/>
  <c r="F29" i="5"/>
  <c r="F39" i="5"/>
  <c r="F47" i="5"/>
  <c r="F42" i="5"/>
  <c r="F43" i="5"/>
  <c r="F40" i="5"/>
  <c r="F44" i="5"/>
  <c r="F45" i="5"/>
  <c r="D10" i="6"/>
  <c r="D17" i="6"/>
  <c r="D12" i="6"/>
  <c r="D9" i="6"/>
  <c r="D7" i="6"/>
  <c r="D16" i="6"/>
  <c r="D27" i="6"/>
  <c r="D50" i="6"/>
  <c r="D52" i="6"/>
  <c r="D29" i="6"/>
  <c r="D22" i="6"/>
  <c r="D23" i="6"/>
  <c r="D28" i="6"/>
  <c r="D30" i="6"/>
  <c r="D43" i="6"/>
  <c r="D18" i="6"/>
  <c r="D44" i="6"/>
  <c r="D45" i="6"/>
  <c r="D49" i="6"/>
  <c r="D15" i="6"/>
  <c r="D46" i="6"/>
  <c r="D5" i="6"/>
  <c r="D6" i="6"/>
  <c r="D8" i="6"/>
  <c r="D4" i="6"/>
  <c r="D14" i="6"/>
  <c r="D13" i="6"/>
  <c r="D32" i="6"/>
  <c r="D34" i="6"/>
  <c r="D24" i="6"/>
  <c r="D25" i="6"/>
  <c r="D19" i="6"/>
  <c r="D21" i="6"/>
  <c r="D26" i="6"/>
  <c r="D20" i="6"/>
  <c r="D53" i="6"/>
  <c r="D36" i="6"/>
  <c r="D48" i="6"/>
  <c r="D47" i="6"/>
  <c r="D51" i="6"/>
  <c r="F10" i="6"/>
  <c r="F17" i="6"/>
  <c r="F12" i="6"/>
  <c r="F9" i="6"/>
  <c r="F7" i="6"/>
  <c r="F16" i="6"/>
  <c r="F35" i="6"/>
  <c r="F27" i="6"/>
  <c r="F50" i="6"/>
  <c r="F52" i="6"/>
  <c r="F29" i="6"/>
  <c r="F22" i="6"/>
  <c r="F33" i="6"/>
  <c r="F30" i="6"/>
  <c r="F43" i="6"/>
  <c r="F44" i="6"/>
  <c r="F45" i="6"/>
  <c r="F49" i="6"/>
  <c r="F46" i="6"/>
  <c r="F5" i="6"/>
  <c r="F6" i="6"/>
  <c r="F8" i="6"/>
  <c r="F13" i="6"/>
  <c r="F32" i="6"/>
  <c r="F34" i="6"/>
  <c r="F25" i="6"/>
  <c r="F26" i="6"/>
  <c r="F53" i="6"/>
  <c r="F48" i="6"/>
  <c r="F47" i="6"/>
  <c r="F58" i="6"/>
  <c r="F51" i="6"/>
  <c r="E10" i="6"/>
  <c r="E17" i="6"/>
  <c r="E12" i="6"/>
  <c r="E9" i="6"/>
  <c r="E7" i="6"/>
  <c r="E16" i="6"/>
  <c r="E27" i="6"/>
  <c r="E50" i="6"/>
  <c r="E52" i="6"/>
  <c r="E29" i="6"/>
  <c r="E22" i="6"/>
  <c r="E23" i="6"/>
  <c r="E28" i="6"/>
  <c r="E30" i="6"/>
  <c r="E43" i="6"/>
  <c r="E18" i="6"/>
  <c r="E44" i="6"/>
  <c r="E45" i="6"/>
  <c r="E49" i="6"/>
  <c r="E15" i="6"/>
  <c r="E46" i="6"/>
  <c r="E5" i="6"/>
  <c r="E6" i="6"/>
  <c r="E8" i="6"/>
  <c r="E4" i="6"/>
  <c r="E14" i="6"/>
  <c r="E13" i="6"/>
  <c r="E32" i="6"/>
  <c r="E34" i="6"/>
  <c r="E24" i="6"/>
  <c r="E25" i="6"/>
  <c r="E19" i="6"/>
  <c r="E21" i="6"/>
  <c r="E26" i="6"/>
  <c r="E20" i="6"/>
  <c r="E53" i="6"/>
  <c r="E36" i="6"/>
  <c r="E48" i="6"/>
  <c r="E47" i="6"/>
  <c r="E58" i="6"/>
  <c r="E51" i="6"/>
  <c r="C10" i="6"/>
  <c r="C17" i="6"/>
  <c r="C12" i="6"/>
  <c r="C9" i="6"/>
  <c r="C7" i="6"/>
  <c r="C16" i="6"/>
  <c r="C27" i="6"/>
  <c r="C50" i="6"/>
  <c r="C52" i="6"/>
  <c r="C29" i="6"/>
  <c r="C22" i="6"/>
  <c r="C23" i="6"/>
  <c r="C28" i="6"/>
  <c r="C30" i="6"/>
  <c r="C43" i="6"/>
  <c r="C18" i="6"/>
  <c r="C44" i="6"/>
  <c r="C45" i="6"/>
  <c r="C49" i="6"/>
  <c r="C15" i="6"/>
  <c r="C46" i="6"/>
  <c r="C5" i="6"/>
  <c r="C6" i="6"/>
  <c r="C8" i="6"/>
  <c r="C4" i="6"/>
  <c r="C14" i="6"/>
  <c r="C13" i="6"/>
  <c r="C32" i="6"/>
  <c r="C34" i="6"/>
  <c r="C24" i="6"/>
  <c r="C25" i="6"/>
  <c r="C19" i="6"/>
  <c r="C21" i="6"/>
  <c r="C26" i="6"/>
  <c r="C20" i="6"/>
  <c r="C53" i="6"/>
  <c r="C36" i="6"/>
  <c r="C48" i="6"/>
  <c r="C47" i="6"/>
  <c r="C58" i="6"/>
  <c r="C51" i="6"/>
  <c r="K30" i="7"/>
  <c r="K19" i="7"/>
  <c r="K16" i="7"/>
  <c r="K4" i="7"/>
  <c r="K38" i="7"/>
  <c r="K10" i="7"/>
  <c r="K12" i="7"/>
  <c r="K23" i="7"/>
  <c r="K7" i="7"/>
  <c r="K9" i="7"/>
  <c r="K14" i="7"/>
  <c r="K5" i="7"/>
  <c r="K6" i="7"/>
  <c r="K11" i="7"/>
  <c r="K21" i="7"/>
  <c r="K8" i="7"/>
  <c r="K17" i="7"/>
  <c r="K13" i="7"/>
  <c r="K22" i="7"/>
  <c r="K24" i="7"/>
  <c r="K15" i="7"/>
  <c r="K18" i="7"/>
  <c r="K20" i="7"/>
  <c r="K31" i="7"/>
  <c r="K32" i="7"/>
  <c r="K39" i="7"/>
  <c r="K33" i="7"/>
  <c r="K34" i="7"/>
  <c r="K25" i="7"/>
  <c r="K26" i="7"/>
  <c r="K35" i="7"/>
  <c r="K27" i="7"/>
  <c r="K36" i="7"/>
  <c r="K28" i="7"/>
  <c r="K40" i="7"/>
  <c r="K37" i="7"/>
  <c r="Y5" i="12"/>
  <c r="C6" i="12"/>
  <c r="D6" i="12"/>
  <c r="E6" i="12"/>
  <c r="F6" i="12"/>
  <c r="C7" i="12"/>
  <c r="D7" i="12"/>
  <c r="E7" i="12"/>
  <c r="F7" i="12"/>
  <c r="C10" i="12"/>
  <c r="D10" i="12"/>
  <c r="E10" i="12"/>
  <c r="F10" i="12"/>
  <c r="C9" i="12"/>
  <c r="D9" i="12"/>
  <c r="E9" i="12"/>
  <c r="F9" i="12"/>
  <c r="C13" i="12"/>
  <c r="D13" i="12"/>
  <c r="E13" i="12"/>
  <c r="F13" i="12"/>
  <c r="C8" i="12"/>
  <c r="D8" i="12"/>
  <c r="E8" i="12"/>
  <c r="F8" i="12"/>
  <c r="C16" i="12"/>
  <c r="D16" i="12"/>
  <c r="E16" i="12"/>
  <c r="F16" i="12"/>
  <c r="C11" i="12"/>
  <c r="D11" i="12"/>
  <c r="E11" i="12"/>
  <c r="F11" i="12"/>
  <c r="C24" i="12"/>
  <c r="D24" i="12"/>
  <c r="E24" i="12"/>
  <c r="F24" i="12"/>
  <c r="C15" i="12"/>
  <c r="D15" i="12"/>
  <c r="E15" i="12"/>
  <c r="F15" i="12"/>
  <c r="C18" i="12"/>
  <c r="D18" i="12"/>
  <c r="E18" i="12"/>
  <c r="F18" i="12"/>
  <c r="C12" i="12"/>
  <c r="D12" i="12"/>
  <c r="E12" i="12"/>
  <c r="F12" i="12"/>
  <c r="C27" i="12"/>
  <c r="D27" i="12"/>
  <c r="E27" i="12"/>
  <c r="F27" i="12"/>
  <c r="C28" i="12"/>
  <c r="D28" i="12"/>
  <c r="E28" i="12"/>
  <c r="F28" i="12"/>
  <c r="C23" i="12"/>
  <c r="D23" i="12"/>
  <c r="E23" i="12"/>
  <c r="F23" i="12"/>
  <c r="C4" i="12"/>
  <c r="D4" i="12"/>
  <c r="E4" i="12"/>
  <c r="F4" i="12"/>
  <c r="C26" i="12"/>
  <c r="D26" i="12"/>
  <c r="E26" i="12"/>
  <c r="F26" i="12"/>
  <c r="D17" i="12"/>
  <c r="E17" i="12"/>
  <c r="F17" i="12"/>
  <c r="E20" i="12"/>
  <c r="F20" i="12"/>
  <c r="C21" i="12"/>
  <c r="D21" i="12"/>
  <c r="E21" i="12"/>
  <c r="F21" i="12"/>
  <c r="C29" i="12"/>
  <c r="E29" i="12"/>
  <c r="F29" i="12"/>
  <c r="F5" i="12"/>
  <c r="E5" i="12"/>
  <c r="D5" i="12"/>
  <c r="C5" i="12"/>
  <c r="AI5" i="10" l="1"/>
  <c r="AJ5" i="10" s="1"/>
  <c r="AI16" i="10"/>
  <c r="AJ16" i="10" s="1"/>
  <c r="AI17" i="10"/>
  <c r="AJ17" i="10" s="1"/>
  <c r="AI4" i="10"/>
  <c r="AJ4" i="10" s="1"/>
  <c r="K28" i="5"/>
  <c r="Y28" i="5"/>
  <c r="Z28" i="5"/>
  <c r="AA28" i="5"/>
  <c r="AB28" i="5"/>
  <c r="AC28" i="5"/>
  <c r="AD28" i="5"/>
  <c r="AE28" i="5"/>
  <c r="AF28" i="5"/>
  <c r="AG28" i="5"/>
  <c r="AH28" i="5"/>
  <c r="K21" i="5"/>
  <c r="Y21" i="5"/>
  <c r="Z21" i="5"/>
  <c r="AA21" i="5"/>
  <c r="AB21" i="5"/>
  <c r="AC21" i="5"/>
  <c r="AD21" i="5"/>
  <c r="AE21" i="5"/>
  <c r="AF21" i="5"/>
  <c r="AG21" i="5"/>
  <c r="AH21" i="5"/>
  <c r="K34" i="6"/>
  <c r="Y34" i="6"/>
  <c r="Z34" i="6"/>
  <c r="AA34" i="6"/>
  <c r="AB34" i="6"/>
  <c r="AC34" i="6"/>
  <c r="AD34" i="6"/>
  <c r="AE34" i="6"/>
  <c r="AF34" i="6"/>
  <c r="AG34" i="6"/>
  <c r="AH34" i="6"/>
  <c r="Y6" i="7"/>
  <c r="Z6" i="7"/>
  <c r="AA6" i="7"/>
  <c r="AB6" i="7"/>
  <c r="AC6" i="7"/>
  <c r="AD6" i="7"/>
  <c r="AE6" i="7"/>
  <c r="AF6" i="7"/>
  <c r="AG6" i="7"/>
  <c r="AH6" i="7"/>
  <c r="Y11" i="7"/>
  <c r="Z11" i="7"/>
  <c r="AA11" i="7"/>
  <c r="AB11" i="7"/>
  <c r="AC11" i="7"/>
  <c r="AD11" i="7"/>
  <c r="AE11" i="7"/>
  <c r="AF11" i="7"/>
  <c r="AG11" i="7"/>
  <c r="AH11" i="7"/>
  <c r="Y8" i="7"/>
  <c r="Z8" i="7"/>
  <c r="AA8" i="7"/>
  <c r="AB8" i="7"/>
  <c r="AC8" i="7"/>
  <c r="AD8" i="7"/>
  <c r="AE8" i="7"/>
  <c r="AF8" i="7"/>
  <c r="AG8" i="7"/>
  <c r="AH8" i="7"/>
  <c r="K13" i="6"/>
  <c r="Y13" i="6"/>
  <c r="Z13" i="6"/>
  <c r="AA13" i="6"/>
  <c r="AB13" i="6"/>
  <c r="AC13" i="6"/>
  <c r="AD13" i="6"/>
  <c r="AE13" i="6"/>
  <c r="AF13" i="6"/>
  <c r="AG13" i="6"/>
  <c r="K15" i="6"/>
  <c r="Y15" i="6"/>
  <c r="Z15" i="6"/>
  <c r="AA15" i="6"/>
  <c r="AB15" i="6"/>
  <c r="AC15" i="6"/>
  <c r="AD15" i="6"/>
  <c r="AE15" i="6"/>
  <c r="AF15" i="6"/>
  <c r="AG15" i="6"/>
  <c r="AH15" i="6"/>
  <c r="Y26" i="12"/>
  <c r="Y28" i="12"/>
  <c r="K25" i="12"/>
  <c r="Y25" i="12"/>
  <c r="Z25" i="12"/>
  <c r="AA25" i="12"/>
  <c r="AB25" i="12"/>
  <c r="AC25" i="12"/>
  <c r="AD25" i="12"/>
  <c r="AE25" i="12"/>
  <c r="AF25" i="12"/>
  <c r="AG25" i="12"/>
  <c r="AH25" i="12"/>
  <c r="K21" i="12"/>
  <c r="Y21" i="12"/>
  <c r="Z21" i="12"/>
  <c r="AA21" i="12"/>
  <c r="AB21" i="12"/>
  <c r="AC21" i="12"/>
  <c r="AD21" i="12"/>
  <c r="AE21" i="12"/>
  <c r="AF21" i="12"/>
  <c r="AG21" i="12"/>
  <c r="AH21" i="12"/>
  <c r="Y33" i="7"/>
  <c r="Z33" i="7"/>
  <c r="AA33" i="7"/>
  <c r="AB33" i="7"/>
  <c r="AC33" i="7"/>
  <c r="AD33" i="7"/>
  <c r="AE33" i="7"/>
  <c r="AF33" i="7"/>
  <c r="AG33" i="7"/>
  <c r="AH33" i="7"/>
  <c r="K48" i="6"/>
  <c r="Y48" i="6"/>
  <c r="Z48" i="6"/>
  <c r="AA48" i="6"/>
  <c r="AB48" i="6"/>
  <c r="AC48" i="6"/>
  <c r="AD48" i="6"/>
  <c r="AE48" i="6"/>
  <c r="AF48" i="6"/>
  <c r="AG48" i="6"/>
  <c r="AH48" i="6"/>
  <c r="K45" i="5"/>
  <c r="Y45" i="5"/>
  <c r="Z45" i="5"/>
  <c r="AA45" i="5"/>
  <c r="AB45" i="5"/>
  <c r="AC45" i="5"/>
  <c r="AD45" i="5"/>
  <c r="AE45" i="5"/>
  <c r="AF45" i="5"/>
  <c r="AG45" i="5"/>
  <c r="AH45" i="5"/>
  <c r="K44" i="5"/>
  <c r="Y44" i="5"/>
  <c r="Z44" i="5"/>
  <c r="AA44" i="5"/>
  <c r="AB44" i="5"/>
  <c r="AC44" i="5"/>
  <c r="AD44" i="5"/>
  <c r="AE44" i="5"/>
  <c r="AF44" i="5"/>
  <c r="AG44" i="5"/>
  <c r="AH44" i="5"/>
  <c r="K30" i="12"/>
  <c r="Y30" i="12"/>
  <c r="Z30" i="12"/>
  <c r="AA30" i="12"/>
  <c r="AB30" i="12"/>
  <c r="AC30" i="12"/>
  <c r="AD30" i="12"/>
  <c r="AE30" i="12"/>
  <c r="AF30" i="12"/>
  <c r="AG30" i="12"/>
  <c r="AH30" i="12"/>
  <c r="K40" i="5"/>
  <c r="Y40" i="5"/>
  <c r="Z40" i="5"/>
  <c r="AA40" i="5"/>
  <c r="AB40" i="5"/>
  <c r="AC40" i="5"/>
  <c r="AD40" i="5"/>
  <c r="AE40" i="5"/>
  <c r="AF40" i="5"/>
  <c r="AG40" i="5"/>
  <c r="AH40" i="5"/>
  <c r="K58" i="6"/>
  <c r="Y58" i="6"/>
  <c r="Z58" i="6"/>
  <c r="AA58" i="6"/>
  <c r="AB58" i="6"/>
  <c r="AC58" i="6"/>
  <c r="AD58" i="6"/>
  <c r="AE58" i="6"/>
  <c r="AF58" i="6"/>
  <c r="AG58" i="6"/>
  <c r="AH58" i="6"/>
  <c r="K57" i="6"/>
  <c r="Y57" i="6"/>
  <c r="Z57" i="6"/>
  <c r="AA57" i="6"/>
  <c r="AB57" i="6"/>
  <c r="AC57" i="6"/>
  <c r="AD57" i="6"/>
  <c r="AE57" i="6"/>
  <c r="AF57" i="6"/>
  <c r="AG57" i="6"/>
  <c r="AH57" i="6"/>
  <c r="K6" i="6"/>
  <c r="Y6" i="6"/>
  <c r="Z6" i="6"/>
  <c r="AA6" i="6"/>
  <c r="AB6" i="6"/>
  <c r="AC6" i="6"/>
  <c r="AD6" i="6"/>
  <c r="AE6" i="6"/>
  <c r="AF6" i="6"/>
  <c r="AG6" i="6"/>
  <c r="K42" i="9"/>
  <c r="Y42" i="9"/>
  <c r="Z42" i="9"/>
  <c r="AA42" i="9"/>
  <c r="AB42" i="9"/>
  <c r="AC42" i="9"/>
  <c r="AD42" i="9"/>
  <c r="AE42" i="9"/>
  <c r="AF42" i="9"/>
  <c r="AG42" i="9"/>
  <c r="AH42" i="9"/>
  <c r="K36" i="6"/>
  <c r="Y36" i="6"/>
  <c r="Z36" i="6"/>
  <c r="AA36" i="6"/>
  <c r="AB36" i="6"/>
  <c r="AC36" i="6"/>
  <c r="AD36" i="6"/>
  <c r="AE36" i="6"/>
  <c r="AF36" i="6"/>
  <c r="AG36" i="6"/>
  <c r="AH36" i="6"/>
  <c r="P59" i="6"/>
  <c r="S59" i="6"/>
  <c r="K5" i="6"/>
  <c r="Y5" i="6"/>
  <c r="Z5" i="6"/>
  <c r="AA5" i="6"/>
  <c r="AB5" i="6"/>
  <c r="AC5" i="6"/>
  <c r="AD5" i="6"/>
  <c r="AE5" i="6"/>
  <c r="AF5" i="6"/>
  <c r="AG5" i="6"/>
  <c r="AH5" i="6"/>
  <c r="K11" i="9"/>
  <c r="Y11" i="9"/>
  <c r="Z11" i="9"/>
  <c r="AA11" i="9"/>
  <c r="AB11" i="9"/>
  <c r="AC11" i="9"/>
  <c r="AD11" i="9"/>
  <c r="AE11" i="9"/>
  <c r="AF11" i="9"/>
  <c r="AG11" i="9"/>
  <c r="AH11" i="9"/>
  <c r="K51" i="9"/>
  <c r="Y51" i="9"/>
  <c r="Z51" i="9"/>
  <c r="AA51" i="9"/>
  <c r="AB51" i="9"/>
  <c r="AC51" i="9"/>
  <c r="AD51" i="9"/>
  <c r="AE51" i="9"/>
  <c r="AF51" i="9"/>
  <c r="AG51" i="9"/>
  <c r="AH51" i="9"/>
  <c r="K8" i="9"/>
  <c r="Y8" i="9"/>
  <c r="Z8" i="9"/>
  <c r="AA8" i="9"/>
  <c r="AB8" i="9"/>
  <c r="AC8" i="9"/>
  <c r="AD8" i="9"/>
  <c r="AE8" i="9"/>
  <c r="AF8" i="9"/>
  <c r="AG8" i="9"/>
  <c r="AH8" i="9"/>
  <c r="K18" i="9"/>
  <c r="Y18" i="9"/>
  <c r="Z18" i="9"/>
  <c r="AA18" i="9"/>
  <c r="AB18" i="9"/>
  <c r="AC18" i="9"/>
  <c r="AD18" i="9"/>
  <c r="AE18" i="9"/>
  <c r="AF18" i="9"/>
  <c r="AG18" i="9"/>
  <c r="AH18" i="9"/>
  <c r="K22" i="9"/>
  <c r="Y22" i="9"/>
  <c r="Z22" i="9"/>
  <c r="AA22" i="9"/>
  <c r="AB22" i="9"/>
  <c r="AC22" i="9"/>
  <c r="AD22" i="9"/>
  <c r="AE22" i="9"/>
  <c r="AF22" i="9"/>
  <c r="AG22" i="9"/>
  <c r="AH22" i="9"/>
  <c r="K32" i="9"/>
  <c r="Y32" i="9"/>
  <c r="Z32" i="9"/>
  <c r="AA32" i="9"/>
  <c r="AB32" i="9"/>
  <c r="AC32" i="9"/>
  <c r="AD32" i="9"/>
  <c r="AE32" i="9"/>
  <c r="AF32" i="9"/>
  <c r="AG32" i="9"/>
  <c r="AH32" i="9"/>
  <c r="K14" i="6"/>
  <c r="Y14" i="6"/>
  <c r="Z14" i="6"/>
  <c r="AA14" i="6"/>
  <c r="AB14" i="6"/>
  <c r="AC14" i="6"/>
  <c r="AD14" i="6"/>
  <c r="AE14" i="6"/>
  <c r="AF14" i="6"/>
  <c r="AG14" i="6"/>
  <c r="K24" i="6"/>
  <c r="K4" i="6"/>
  <c r="Y24" i="6"/>
  <c r="Y4" i="6"/>
  <c r="Z24" i="6"/>
  <c r="Z4" i="6"/>
  <c r="AA24" i="6"/>
  <c r="AA4" i="6"/>
  <c r="AB24" i="6"/>
  <c r="AB4" i="6"/>
  <c r="AC24" i="6"/>
  <c r="AC4" i="6"/>
  <c r="AD24" i="6"/>
  <c r="AD4" i="6"/>
  <c r="AE24" i="6"/>
  <c r="AE4" i="6"/>
  <c r="AF24" i="6"/>
  <c r="AF4" i="6"/>
  <c r="AG24" i="6"/>
  <c r="AG4" i="6"/>
  <c r="AH24" i="6"/>
  <c r="K37" i="6"/>
  <c r="Y37" i="6"/>
  <c r="Z37" i="6"/>
  <c r="AB37" i="6"/>
  <c r="AC37" i="6"/>
  <c r="AD37" i="6"/>
  <c r="AE37" i="6"/>
  <c r="AF37" i="6"/>
  <c r="AG37" i="6"/>
  <c r="AH37" i="6"/>
  <c r="K51" i="6"/>
  <c r="Y51" i="6"/>
  <c r="Z51" i="6"/>
  <c r="AA51" i="6"/>
  <c r="AB51" i="6"/>
  <c r="AC51" i="6"/>
  <c r="AD51" i="6"/>
  <c r="AE51" i="6"/>
  <c r="AF51" i="6"/>
  <c r="AG51" i="6"/>
  <c r="AH51" i="6"/>
  <c r="K23" i="9"/>
  <c r="Y23" i="9"/>
  <c r="Z23" i="9"/>
  <c r="AA23" i="9"/>
  <c r="AB23" i="9"/>
  <c r="AC23" i="9"/>
  <c r="AD23" i="9"/>
  <c r="AE23" i="9"/>
  <c r="AF23" i="9"/>
  <c r="AG23" i="9"/>
  <c r="AH23" i="9"/>
  <c r="K47" i="9"/>
  <c r="Y47" i="9"/>
  <c r="Z47" i="9"/>
  <c r="AA47" i="9"/>
  <c r="AB47" i="9"/>
  <c r="AC47" i="9"/>
  <c r="AD47" i="9"/>
  <c r="AE47" i="9"/>
  <c r="AF47" i="9"/>
  <c r="AG47" i="9"/>
  <c r="AH47" i="9"/>
  <c r="K43" i="9"/>
  <c r="Y43" i="9"/>
  <c r="Z43" i="9"/>
  <c r="AA43" i="9"/>
  <c r="AB43" i="9"/>
  <c r="AC43" i="9"/>
  <c r="AD43" i="9"/>
  <c r="AE43" i="9"/>
  <c r="AF43" i="9"/>
  <c r="AG43" i="9"/>
  <c r="AH43" i="9"/>
  <c r="AB6" i="12"/>
  <c r="M39" i="8"/>
  <c r="M52" i="9"/>
  <c r="V39" i="8"/>
  <c r="S39" i="8"/>
  <c r="P39" i="8"/>
  <c r="AH38" i="8"/>
  <c r="AG38" i="8"/>
  <c r="AF38" i="8"/>
  <c r="AE38" i="8"/>
  <c r="AD38" i="8"/>
  <c r="AC38" i="8"/>
  <c r="AB38" i="8"/>
  <c r="AA38" i="8"/>
  <c r="Z38" i="8"/>
  <c r="Y38" i="8"/>
  <c r="K38" i="8"/>
  <c r="F38" i="8"/>
  <c r="E38" i="8"/>
  <c r="D38" i="8"/>
  <c r="C38" i="8"/>
  <c r="AH5" i="8"/>
  <c r="AG5" i="8"/>
  <c r="AF5" i="8"/>
  <c r="AE5" i="8"/>
  <c r="AD5" i="8"/>
  <c r="AC5" i="8"/>
  <c r="AB5" i="8"/>
  <c r="AA5" i="8"/>
  <c r="Z5" i="8"/>
  <c r="Y5" i="8"/>
  <c r="K5" i="8"/>
  <c r="AH4" i="8"/>
  <c r="AG4" i="8"/>
  <c r="AF4" i="8"/>
  <c r="AE4" i="8"/>
  <c r="AD4" i="8"/>
  <c r="AC4" i="8"/>
  <c r="AB4" i="8"/>
  <c r="AA4" i="8"/>
  <c r="Z4" i="8"/>
  <c r="Y4" i="8"/>
  <c r="K4" i="8"/>
  <c r="V41" i="7"/>
  <c r="S41" i="7"/>
  <c r="P41" i="7"/>
  <c r="M41" i="7"/>
  <c r="AH5" i="7"/>
  <c r="AG5" i="7"/>
  <c r="AF5" i="7"/>
  <c r="AE5" i="7"/>
  <c r="AD5" i="7"/>
  <c r="AC5" i="7"/>
  <c r="AB5" i="7"/>
  <c r="AA5" i="7"/>
  <c r="Z5" i="7"/>
  <c r="Y5" i="7"/>
  <c r="AH37" i="7"/>
  <c r="AG37" i="7"/>
  <c r="AF37" i="7"/>
  <c r="AE37" i="7"/>
  <c r="AD37" i="7"/>
  <c r="AC37" i="7"/>
  <c r="AB37" i="7"/>
  <c r="AA37" i="7"/>
  <c r="Z37" i="7"/>
  <c r="Y37" i="7"/>
  <c r="AH40" i="7"/>
  <c r="AG40" i="7"/>
  <c r="AF40" i="7"/>
  <c r="AE40" i="7"/>
  <c r="AD40" i="7"/>
  <c r="AC40" i="7"/>
  <c r="AB40" i="7"/>
  <c r="AA40" i="7"/>
  <c r="Z40" i="7"/>
  <c r="Y40" i="7"/>
  <c r="AH28" i="7"/>
  <c r="AG28" i="7"/>
  <c r="AF28" i="7"/>
  <c r="AE28" i="7"/>
  <c r="AD28" i="7"/>
  <c r="AC28" i="7"/>
  <c r="AB28" i="7"/>
  <c r="AA28" i="7"/>
  <c r="Z28" i="7"/>
  <c r="Y28" i="7"/>
  <c r="AH36" i="7"/>
  <c r="AG36" i="7"/>
  <c r="AF36" i="7"/>
  <c r="AE36" i="7"/>
  <c r="AD36" i="7"/>
  <c r="AC36" i="7"/>
  <c r="AB36" i="7"/>
  <c r="AA36" i="7"/>
  <c r="Z36" i="7"/>
  <c r="Y36" i="7"/>
  <c r="AH34" i="7"/>
  <c r="AG34" i="7"/>
  <c r="AF34" i="7"/>
  <c r="AE34" i="7"/>
  <c r="AD34" i="7"/>
  <c r="AC34" i="7"/>
  <c r="AB34" i="7"/>
  <c r="AA34" i="7"/>
  <c r="Z34" i="7"/>
  <c r="Y34" i="7"/>
  <c r="AH27" i="7"/>
  <c r="AG27" i="7"/>
  <c r="AF27" i="7"/>
  <c r="AE27" i="7"/>
  <c r="AD27" i="7"/>
  <c r="AC27" i="7"/>
  <c r="AB27" i="7"/>
  <c r="AA27" i="7"/>
  <c r="Z27" i="7"/>
  <c r="Y27" i="7"/>
  <c r="AH23" i="7"/>
  <c r="AG23" i="7"/>
  <c r="AF23" i="7"/>
  <c r="AE23" i="7"/>
  <c r="AD23" i="7"/>
  <c r="AC23" i="7"/>
  <c r="AB23" i="7"/>
  <c r="AA23" i="7"/>
  <c r="Z23" i="7"/>
  <c r="Y23" i="7"/>
  <c r="AH18" i="7"/>
  <c r="AG18" i="7"/>
  <c r="AF18" i="7"/>
  <c r="AE18" i="7"/>
  <c r="AD18" i="7"/>
  <c r="AC18" i="7"/>
  <c r="AB18" i="7"/>
  <c r="AA18" i="7"/>
  <c r="Z18" i="7"/>
  <c r="Y18" i="7"/>
  <c r="AH38" i="7"/>
  <c r="AG38" i="7"/>
  <c r="AF38" i="7"/>
  <c r="AE38" i="7"/>
  <c r="AD38" i="7"/>
  <c r="AC38" i="7"/>
  <c r="AB38" i="7"/>
  <c r="AA38" i="7"/>
  <c r="Z38" i="7"/>
  <c r="Y38" i="7"/>
  <c r="AH25" i="7"/>
  <c r="AG25" i="7"/>
  <c r="AF25" i="7"/>
  <c r="AE25" i="7"/>
  <c r="AD25" i="7"/>
  <c r="AC25" i="7"/>
  <c r="AB25" i="7"/>
  <c r="AA25" i="7"/>
  <c r="Z25" i="7"/>
  <c r="Y25" i="7"/>
  <c r="AH39" i="7"/>
  <c r="AG39" i="7"/>
  <c r="AF39" i="7"/>
  <c r="AE39" i="7"/>
  <c r="AD39" i="7"/>
  <c r="AC39" i="7"/>
  <c r="AB39" i="7"/>
  <c r="AA39" i="7"/>
  <c r="Z39" i="7"/>
  <c r="Y39" i="7"/>
  <c r="AH9" i="7"/>
  <c r="AG9" i="7"/>
  <c r="AF9" i="7"/>
  <c r="AE9" i="7"/>
  <c r="AD9" i="7"/>
  <c r="AC9" i="7"/>
  <c r="AB9" i="7"/>
  <c r="AA9" i="7"/>
  <c r="Z9" i="7"/>
  <c r="Y9" i="7"/>
  <c r="AH4" i="7"/>
  <c r="AG4" i="7"/>
  <c r="AF4" i="7"/>
  <c r="AE4" i="7"/>
  <c r="AD4" i="7"/>
  <c r="AC4" i="7"/>
  <c r="AB4" i="7"/>
  <c r="AA4" i="7"/>
  <c r="Z4" i="7"/>
  <c r="Y4" i="7"/>
  <c r="AH21" i="7"/>
  <c r="AG21" i="7"/>
  <c r="AF21" i="7"/>
  <c r="AE21" i="7"/>
  <c r="AD21" i="7"/>
  <c r="AC21" i="7"/>
  <c r="AB21" i="7"/>
  <c r="AA21" i="7"/>
  <c r="Z21" i="7"/>
  <c r="Y21" i="7"/>
  <c r="AH31" i="7"/>
  <c r="AG31" i="7"/>
  <c r="AF31" i="7"/>
  <c r="AE31" i="7"/>
  <c r="AD31" i="7"/>
  <c r="AC31" i="7"/>
  <c r="AB31" i="7"/>
  <c r="AA31" i="7"/>
  <c r="Z31" i="7"/>
  <c r="Y31" i="7"/>
  <c r="AH20" i="7"/>
  <c r="AG20" i="7"/>
  <c r="AF20" i="7"/>
  <c r="AE20" i="7"/>
  <c r="AD20" i="7"/>
  <c r="AC20" i="7"/>
  <c r="AB20" i="7"/>
  <c r="AA20" i="7"/>
  <c r="Z20" i="7"/>
  <c r="Y20" i="7"/>
  <c r="AH32" i="7"/>
  <c r="AG32" i="7"/>
  <c r="AF32" i="7"/>
  <c r="AE32" i="7"/>
  <c r="AD32" i="7"/>
  <c r="AC32" i="7"/>
  <c r="AB32" i="7"/>
  <c r="AA32" i="7"/>
  <c r="Z32" i="7"/>
  <c r="Y32" i="7"/>
  <c r="AH15" i="7"/>
  <c r="AG15" i="7"/>
  <c r="AF15" i="7"/>
  <c r="AE15" i="7"/>
  <c r="AD15" i="7"/>
  <c r="AC15" i="7"/>
  <c r="AB15" i="7"/>
  <c r="AA15" i="7"/>
  <c r="Z15" i="7"/>
  <c r="Y15" i="7"/>
  <c r="AH24" i="7"/>
  <c r="AG24" i="7"/>
  <c r="AF24" i="7"/>
  <c r="AE24" i="7"/>
  <c r="AD24" i="7"/>
  <c r="AC24" i="7"/>
  <c r="AB24" i="7"/>
  <c r="AA24" i="7"/>
  <c r="Z24" i="7"/>
  <c r="Y24" i="7"/>
  <c r="AH35" i="7"/>
  <c r="AG35" i="7"/>
  <c r="AF35" i="7"/>
  <c r="AE35" i="7"/>
  <c r="AD35" i="7"/>
  <c r="AC35" i="7"/>
  <c r="AB35" i="7"/>
  <c r="AA35" i="7"/>
  <c r="Z35" i="7"/>
  <c r="Y35" i="7"/>
  <c r="AH13" i="7"/>
  <c r="AG13" i="7"/>
  <c r="AF13" i="7"/>
  <c r="AE13" i="7"/>
  <c r="AD13" i="7"/>
  <c r="AC13" i="7"/>
  <c r="AB13" i="7"/>
  <c r="AA13" i="7"/>
  <c r="Z13" i="7"/>
  <c r="Y13" i="7"/>
  <c r="AH26" i="7"/>
  <c r="AG26" i="7"/>
  <c r="AF26" i="7"/>
  <c r="AE26" i="7"/>
  <c r="AD26" i="7"/>
  <c r="AC26" i="7"/>
  <c r="AB26" i="7"/>
  <c r="AA26" i="7"/>
  <c r="Z26" i="7"/>
  <c r="Y26" i="7"/>
  <c r="AH14" i="7"/>
  <c r="AG14" i="7"/>
  <c r="AF14" i="7"/>
  <c r="AE14" i="7"/>
  <c r="AD14" i="7"/>
  <c r="AC14" i="7"/>
  <c r="AB14" i="7"/>
  <c r="AA14" i="7"/>
  <c r="Z14" i="7"/>
  <c r="Y14" i="7"/>
  <c r="AH12" i="7"/>
  <c r="AG12" i="7"/>
  <c r="AF12" i="7"/>
  <c r="AE12" i="7"/>
  <c r="AD12" i="7"/>
  <c r="AC12" i="7"/>
  <c r="AB12" i="7"/>
  <c r="AA12" i="7"/>
  <c r="Z12" i="7"/>
  <c r="Y12" i="7"/>
  <c r="AH10" i="7"/>
  <c r="AG10" i="7"/>
  <c r="AF10" i="7"/>
  <c r="AE10" i="7"/>
  <c r="AD10" i="7"/>
  <c r="AC10" i="7"/>
  <c r="AB10" i="7"/>
  <c r="AA10" i="7"/>
  <c r="Z10" i="7"/>
  <c r="Y10" i="7"/>
  <c r="AH22" i="7"/>
  <c r="AG22" i="7"/>
  <c r="AF22" i="7"/>
  <c r="AE22" i="7"/>
  <c r="AD22" i="7"/>
  <c r="AC22" i="7"/>
  <c r="AB22" i="7"/>
  <c r="AA22" i="7"/>
  <c r="Z22" i="7"/>
  <c r="Y22" i="7"/>
  <c r="AH29" i="7"/>
  <c r="AG29" i="7"/>
  <c r="AF29" i="7"/>
  <c r="AE29" i="7"/>
  <c r="AD29" i="7"/>
  <c r="AC29" i="7"/>
  <c r="AB29" i="7"/>
  <c r="AA29" i="7"/>
  <c r="Z29" i="7"/>
  <c r="Y29" i="7"/>
  <c r="K29" i="7"/>
  <c r="AH7" i="7"/>
  <c r="AG7" i="7"/>
  <c r="AF7" i="7"/>
  <c r="AE7" i="7"/>
  <c r="AD7" i="7"/>
  <c r="AC7" i="7"/>
  <c r="AB7" i="7"/>
  <c r="AA7" i="7"/>
  <c r="Z7" i="7"/>
  <c r="Y7" i="7"/>
  <c r="AH19" i="7"/>
  <c r="AG19" i="7"/>
  <c r="AF19" i="7"/>
  <c r="AE19" i="7"/>
  <c r="AD19" i="7"/>
  <c r="AC19" i="7"/>
  <c r="AB19" i="7"/>
  <c r="AA19" i="7"/>
  <c r="Z19" i="7"/>
  <c r="Y19" i="7"/>
  <c r="AH16" i="7"/>
  <c r="AG16" i="7"/>
  <c r="AF16" i="7"/>
  <c r="AE16" i="7"/>
  <c r="AD16" i="7"/>
  <c r="AC16" i="7"/>
  <c r="AB16" i="7"/>
  <c r="AA16" i="7"/>
  <c r="Z16" i="7"/>
  <c r="Y16" i="7"/>
  <c r="AH17" i="7"/>
  <c r="AG17" i="7"/>
  <c r="AF17" i="7"/>
  <c r="AE17" i="7"/>
  <c r="AD17" i="7"/>
  <c r="AC17" i="7"/>
  <c r="AB17" i="7"/>
  <c r="AA17" i="7"/>
  <c r="Z17" i="7"/>
  <c r="Y17" i="7"/>
  <c r="AH30" i="7"/>
  <c r="AG30" i="7"/>
  <c r="AF30" i="7"/>
  <c r="AE30" i="7"/>
  <c r="AD30" i="7"/>
  <c r="AC30" i="7"/>
  <c r="AB30" i="7"/>
  <c r="AA30" i="7"/>
  <c r="Z30" i="7"/>
  <c r="Y30" i="7"/>
  <c r="V59" i="6"/>
  <c r="M59" i="6"/>
  <c r="AH32" i="6"/>
  <c r="AG32" i="6"/>
  <c r="AF32" i="6"/>
  <c r="AE32" i="6"/>
  <c r="AD32" i="6"/>
  <c r="AC32" i="6"/>
  <c r="AB32" i="6"/>
  <c r="AA32" i="6"/>
  <c r="Z32" i="6"/>
  <c r="Y32" i="6"/>
  <c r="K32" i="6"/>
  <c r="AG18" i="6"/>
  <c r="AF18" i="6"/>
  <c r="AE18" i="6"/>
  <c r="AD18" i="6"/>
  <c r="AC18" i="6"/>
  <c r="AB18" i="6"/>
  <c r="AA18" i="6"/>
  <c r="Z18" i="6"/>
  <c r="Y18" i="6"/>
  <c r="K18" i="6"/>
  <c r="AH28" i="6"/>
  <c r="AG28" i="6"/>
  <c r="AF28" i="6"/>
  <c r="AE28" i="6"/>
  <c r="AD28" i="6"/>
  <c r="AC28" i="6"/>
  <c r="AB28" i="6"/>
  <c r="AA28" i="6"/>
  <c r="Z28" i="6"/>
  <c r="Y28" i="6"/>
  <c r="K28" i="6"/>
  <c r="AH23" i="6"/>
  <c r="AG23" i="6"/>
  <c r="AF23" i="6"/>
  <c r="AE23" i="6"/>
  <c r="AD23" i="6"/>
  <c r="AC23" i="6"/>
  <c r="AB23" i="6"/>
  <c r="AA23" i="6"/>
  <c r="Z23" i="6"/>
  <c r="Y23" i="6"/>
  <c r="K23" i="6"/>
  <c r="AH25" i="6"/>
  <c r="AG25" i="6"/>
  <c r="AF25" i="6"/>
  <c r="AE25" i="6"/>
  <c r="AD25" i="6"/>
  <c r="AC25" i="6"/>
  <c r="AB25" i="6"/>
  <c r="AA25" i="6"/>
  <c r="Z25" i="6"/>
  <c r="Y25" i="6"/>
  <c r="K25" i="6"/>
  <c r="AH30" i="6"/>
  <c r="AG30" i="6"/>
  <c r="AF30" i="6"/>
  <c r="AE30" i="6"/>
  <c r="AD30" i="6"/>
  <c r="AC30" i="6"/>
  <c r="AB30" i="6"/>
  <c r="AA30" i="6"/>
  <c r="Z30" i="6"/>
  <c r="Y30" i="6"/>
  <c r="K30" i="6"/>
  <c r="AH29" i="6"/>
  <c r="AG29" i="6"/>
  <c r="AF29" i="6"/>
  <c r="AE29" i="6"/>
  <c r="AD29" i="6"/>
  <c r="AC29" i="6"/>
  <c r="AB29" i="6"/>
  <c r="AA29" i="6"/>
  <c r="Z29" i="6"/>
  <c r="Y29" i="6"/>
  <c r="K29" i="6"/>
  <c r="AH17" i="6"/>
  <c r="AG17" i="6"/>
  <c r="AF17" i="6"/>
  <c r="AE17" i="6"/>
  <c r="AD17" i="6"/>
  <c r="AC17" i="6"/>
  <c r="AB17" i="6"/>
  <c r="AA17" i="6"/>
  <c r="Z17" i="6"/>
  <c r="Y17" i="6"/>
  <c r="K17" i="6"/>
  <c r="AH45" i="6"/>
  <c r="AG45" i="6"/>
  <c r="AF45" i="6"/>
  <c r="AE45" i="6"/>
  <c r="AD45" i="6"/>
  <c r="AC45" i="6"/>
  <c r="AB45" i="6"/>
  <c r="AA45" i="6"/>
  <c r="Z45" i="6"/>
  <c r="Y45" i="6"/>
  <c r="K45" i="6"/>
  <c r="AH46" i="6"/>
  <c r="AG46" i="6"/>
  <c r="AF46" i="6"/>
  <c r="AE46" i="6"/>
  <c r="AD46" i="6"/>
  <c r="AC46" i="6"/>
  <c r="AB46" i="6"/>
  <c r="AA46" i="6"/>
  <c r="Z46" i="6"/>
  <c r="Y46" i="6"/>
  <c r="K46" i="6"/>
  <c r="AH33" i="6"/>
  <c r="AG33" i="6"/>
  <c r="AF33" i="6"/>
  <c r="AE33" i="6"/>
  <c r="AD33" i="6"/>
  <c r="AC33" i="6"/>
  <c r="AB33" i="6"/>
  <c r="AA33" i="6"/>
  <c r="Z33" i="6"/>
  <c r="Y33" i="6"/>
  <c r="K33" i="6"/>
  <c r="AG10" i="6"/>
  <c r="AF10" i="6"/>
  <c r="AE10" i="6"/>
  <c r="AD10" i="6"/>
  <c r="AC10" i="6"/>
  <c r="AB10" i="6"/>
  <c r="AA10" i="6"/>
  <c r="Z10" i="6"/>
  <c r="Y10" i="6"/>
  <c r="K10" i="6"/>
  <c r="AH54" i="6"/>
  <c r="AG54" i="6"/>
  <c r="AF54" i="6"/>
  <c r="AE54" i="6"/>
  <c r="AD54" i="6"/>
  <c r="AC54" i="6"/>
  <c r="AB54" i="6"/>
  <c r="AA54" i="6"/>
  <c r="Z54" i="6"/>
  <c r="Y54" i="6"/>
  <c r="K54" i="6"/>
  <c r="AH27" i="6"/>
  <c r="AG27" i="6"/>
  <c r="AF27" i="6"/>
  <c r="AE27" i="6"/>
  <c r="AD27" i="6"/>
  <c r="AC27" i="6"/>
  <c r="AB27" i="6"/>
  <c r="AA27" i="6"/>
  <c r="Z27" i="6"/>
  <c r="Y27" i="6"/>
  <c r="K27" i="6"/>
  <c r="AH7" i="6"/>
  <c r="AG7" i="6"/>
  <c r="AF7" i="6"/>
  <c r="AE7" i="6"/>
  <c r="AD7" i="6"/>
  <c r="AC7" i="6"/>
  <c r="AB7" i="6"/>
  <c r="AA7" i="6"/>
  <c r="Z7" i="6"/>
  <c r="Y7" i="6"/>
  <c r="K7" i="6"/>
  <c r="AH49" i="6"/>
  <c r="AG49" i="6"/>
  <c r="AF49" i="6"/>
  <c r="AE49" i="6"/>
  <c r="AD49" i="6"/>
  <c r="AC49" i="6"/>
  <c r="AB49" i="6"/>
  <c r="AA49" i="6"/>
  <c r="Z49" i="6"/>
  <c r="Y49" i="6"/>
  <c r="K49" i="6"/>
  <c r="AH53" i="6"/>
  <c r="AG53" i="6"/>
  <c r="AF53" i="6"/>
  <c r="AE53" i="6"/>
  <c r="AD53" i="6"/>
  <c r="AC53" i="6"/>
  <c r="AB53" i="6"/>
  <c r="AA53" i="6"/>
  <c r="Z53" i="6"/>
  <c r="Y53" i="6"/>
  <c r="K53" i="6"/>
  <c r="AH47" i="6"/>
  <c r="AG47" i="6"/>
  <c r="AF47" i="6"/>
  <c r="AE47" i="6"/>
  <c r="AD47" i="6"/>
  <c r="AC47" i="6"/>
  <c r="AB47" i="6"/>
  <c r="AA47" i="6"/>
  <c r="Z47" i="6"/>
  <c r="Y47" i="6"/>
  <c r="K47" i="6"/>
  <c r="AH50" i="6"/>
  <c r="AG50" i="6"/>
  <c r="AF50" i="6"/>
  <c r="AE50" i="6"/>
  <c r="AD50" i="6"/>
  <c r="AC50" i="6"/>
  <c r="AB50" i="6"/>
  <c r="AA50" i="6"/>
  <c r="Z50" i="6"/>
  <c r="Y50" i="6"/>
  <c r="K50" i="6"/>
  <c r="AG16" i="6"/>
  <c r="AF16" i="6"/>
  <c r="AE16" i="6"/>
  <c r="AD16" i="6"/>
  <c r="AC16" i="6"/>
  <c r="AB16" i="6"/>
  <c r="AA16" i="6"/>
  <c r="Z16" i="6"/>
  <c r="Y16" i="6"/>
  <c r="K16" i="6"/>
  <c r="AH43" i="6"/>
  <c r="AG43" i="6"/>
  <c r="AF43" i="6"/>
  <c r="AE43" i="6"/>
  <c r="AD43" i="6"/>
  <c r="AC43" i="6"/>
  <c r="AB43" i="6"/>
  <c r="AA43" i="6"/>
  <c r="Z43" i="6"/>
  <c r="Y43" i="6"/>
  <c r="K43" i="6"/>
  <c r="AH31" i="6"/>
  <c r="AG31" i="6"/>
  <c r="AF31" i="6"/>
  <c r="AE31" i="6"/>
  <c r="AD31" i="6"/>
  <c r="AC31" i="6"/>
  <c r="AB31" i="6"/>
  <c r="AA31" i="6"/>
  <c r="Z31" i="6"/>
  <c r="Y31" i="6"/>
  <c r="K31" i="6"/>
  <c r="AH11" i="6"/>
  <c r="AG11" i="6"/>
  <c r="AF11" i="6"/>
  <c r="AE11" i="6"/>
  <c r="AD11" i="6"/>
  <c r="AC11" i="6"/>
  <c r="AB11" i="6"/>
  <c r="AA11" i="6"/>
  <c r="Z11" i="6"/>
  <c r="Y11" i="6"/>
  <c r="K11" i="6"/>
  <c r="AH22" i="6"/>
  <c r="AG22" i="6"/>
  <c r="AF22" i="6"/>
  <c r="AE22" i="6"/>
  <c r="AD22" i="6"/>
  <c r="AC22" i="6"/>
  <c r="AB22" i="6"/>
  <c r="AA22" i="6"/>
  <c r="Z22" i="6"/>
  <c r="Y22" i="6"/>
  <c r="K22" i="6"/>
  <c r="AH35" i="6"/>
  <c r="AG35" i="6"/>
  <c r="AF35" i="6"/>
  <c r="AE35" i="6"/>
  <c r="AD35" i="6"/>
  <c r="AC35" i="6"/>
  <c r="AB35" i="6"/>
  <c r="AA35" i="6"/>
  <c r="Z35" i="6"/>
  <c r="Y35" i="6"/>
  <c r="K35" i="6"/>
  <c r="AH12" i="6"/>
  <c r="AG12" i="6"/>
  <c r="AF12" i="6"/>
  <c r="AE12" i="6"/>
  <c r="AD12" i="6"/>
  <c r="AC12" i="6"/>
  <c r="AB12" i="6"/>
  <c r="AA12" i="6"/>
  <c r="Z12" i="6"/>
  <c r="Y12" i="6"/>
  <c r="K12" i="6"/>
  <c r="AH21" i="6"/>
  <c r="AG21" i="6"/>
  <c r="AF21" i="6"/>
  <c r="AE21" i="6"/>
  <c r="AD21" i="6"/>
  <c r="AC21" i="6"/>
  <c r="AB21" i="6"/>
  <c r="AA21" i="6"/>
  <c r="Z21" i="6"/>
  <c r="Y21" i="6"/>
  <c r="K21" i="6"/>
  <c r="AH42" i="6"/>
  <c r="AG42" i="6"/>
  <c r="AF42" i="6"/>
  <c r="AE42" i="6"/>
  <c r="AD42" i="6"/>
  <c r="AC42" i="6"/>
  <c r="AB42" i="6"/>
  <c r="AA42" i="6"/>
  <c r="Z42" i="6"/>
  <c r="Y42" i="6"/>
  <c r="K42" i="6"/>
  <c r="AH8" i="6"/>
  <c r="AG8" i="6"/>
  <c r="AF8" i="6"/>
  <c r="AE8" i="6"/>
  <c r="AD8" i="6"/>
  <c r="AC8" i="6"/>
  <c r="AB8" i="6"/>
  <c r="AA8" i="6"/>
  <c r="Z8" i="6"/>
  <c r="Y8" i="6"/>
  <c r="K8" i="6"/>
  <c r="AH20" i="6"/>
  <c r="AG20" i="6"/>
  <c r="AF20" i="6"/>
  <c r="AE20" i="6"/>
  <c r="AD20" i="6"/>
  <c r="AC20" i="6"/>
  <c r="AB20" i="6"/>
  <c r="AA20" i="6"/>
  <c r="Z20" i="6"/>
  <c r="Y20" i="6"/>
  <c r="K20" i="6"/>
  <c r="AH52" i="6"/>
  <c r="AG52" i="6"/>
  <c r="AF52" i="6"/>
  <c r="AE52" i="6"/>
  <c r="AD52" i="6"/>
  <c r="AC52" i="6"/>
  <c r="AB52" i="6"/>
  <c r="AA52" i="6"/>
  <c r="Z52" i="6"/>
  <c r="Y52" i="6"/>
  <c r="K52" i="6"/>
  <c r="AG9" i="6"/>
  <c r="AF9" i="6"/>
  <c r="AE9" i="6"/>
  <c r="AD9" i="6"/>
  <c r="AC9" i="6"/>
  <c r="AB9" i="6"/>
  <c r="AA9" i="6"/>
  <c r="Z9" i="6"/>
  <c r="Y9" i="6"/>
  <c r="K9" i="6"/>
  <c r="AH44" i="6"/>
  <c r="AG44" i="6"/>
  <c r="AF44" i="6"/>
  <c r="AE44" i="6"/>
  <c r="AD44" i="6"/>
  <c r="AC44" i="6"/>
  <c r="AB44" i="6"/>
  <c r="AA44" i="6"/>
  <c r="Z44" i="6"/>
  <c r="Y44" i="6"/>
  <c r="K44" i="6"/>
  <c r="AH26" i="6"/>
  <c r="AG26" i="6"/>
  <c r="AF26" i="6"/>
  <c r="AE26" i="6"/>
  <c r="AD26" i="6"/>
  <c r="AC26" i="6"/>
  <c r="AB26" i="6"/>
  <c r="AA26" i="6"/>
  <c r="Z26" i="6"/>
  <c r="Y26" i="6"/>
  <c r="K26" i="6"/>
  <c r="AH19" i="6"/>
  <c r="AG19" i="6"/>
  <c r="AF19" i="6"/>
  <c r="AE19" i="6"/>
  <c r="AD19" i="6"/>
  <c r="AC19" i="6"/>
  <c r="AB19" i="6"/>
  <c r="AA19" i="6"/>
  <c r="Z19" i="6"/>
  <c r="Y19" i="6"/>
  <c r="K19" i="6"/>
  <c r="V39" i="12"/>
  <c r="S39" i="12"/>
  <c r="P39" i="12"/>
  <c r="M39" i="12"/>
  <c r="AH38" i="12"/>
  <c r="AG38" i="12"/>
  <c r="AF38" i="12"/>
  <c r="AE38" i="12"/>
  <c r="AD38" i="12"/>
  <c r="AC38" i="12"/>
  <c r="AB38" i="12"/>
  <c r="AA38" i="12"/>
  <c r="Z38" i="12"/>
  <c r="Y38" i="12"/>
  <c r="K38" i="12"/>
  <c r="F38" i="12"/>
  <c r="E38" i="12"/>
  <c r="D38" i="12"/>
  <c r="C38" i="12"/>
  <c r="AH37" i="12"/>
  <c r="AG37" i="12"/>
  <c r="AF37" i="12"/>
  <c r="AE37" i="12"/>
  <c r="AD37" i="12"/>
  <c r="AC37" i="12"/>
  <c r="AB37" i="12"/>
  <c r="AA37" i="12"/>
  <c r="Z37" i="12"/>
  <c r="Y37" i="12"/>
  <c r="K37" i="12"/>
  <c r="F37" i="12"/>
  <c r="E37" i="12"/>
  <c r="D37" i="12"/>
  <c r="C37" i="12"/>
  <c r="AH36" i="12"/>
  <c r="AG36" i="12"/>
  <c r="AF36" i="12"/>
  <c r="AE36" i="12"/>
  <c r="AD36" i="12"/>
  <c r="AC36" i="12"/>
  <c r="AB36" i="12"/>
  <c r="AA36" i="12"/>
  <c r="Z36" i="12"/>
  <c r="Y36" i="12"/>
  <c r="K36" i="12"/>
  <c r="F36" i="12"/>
  <c r="E36" i="12"/>
  <c r="D36" i="12"/>
  <c r="C36" i="12"/>
  <c r="AH35" i="12"/>
  <c r="AG35" i="12"/>
  <c r="AF35" i="12"/>
  <c r="AE35" i="12"/>
  <c r="AD35" i="12"/>
  <c r="AC35" i="12"/>
  <c r="AB35" i="12"/>
  <c r="AA35" i="12"/>
  <c r="Z35" i="12"/>
  <c r="Y35" i="12"/>
  <c r="K35" i="12"/>
  <c r="F35" i="12"/>
  <c r="E35" i="12"/>
  <c r="D35" i="12"/>
  <c r="C35" i="12"/>
  <c r="AH34" i="12"/>
  <c r="AG34" i="12"/>
  <c r="AF34" i="12"/>
  <c r="AE34" i="12"/>
  <c r="AD34" i="12"/>
  <c r="AC34" i="12"/>
  <c r="AB34" i="12"/>
  <c r="AA34" i="12"/>
  <c r="Z34" i="12"/>
  <c r="Y34" i="12"/>
  <c r="K34" i="12"/>
  <c r="F34" i="12"/>
  <c r="E34" i="12"/>
  <c r="D34" i="12"/>
  <c r="C34" i="12"/>
  <c r="AH33" i="12"/>
  <c r="AG33" i="12"/>
  <c r="AF33" i="12"/>
  <c r="AE33" i="12"/>
  <c r="AD33" i="12"/>
  <c r="AC33" i="12"/>
  <c r="AB33" i="12"/>
  <c r="AA33" i="12"/>
  <c r="Z33" i="12"/>
  <c r="Y33" i="12"/>
  <c r="K33" i="12"/>
  <c r="F33" i="12"/>
  <c r="E33" i="12"/>
  <c r="D33" i="12"/>
  <c r="C33" i="12"/>
  <c r="AH32" i="12"/>
  <c r="AG32" i="12"/>
  <c r="AF32" i="12"/>
  <c r="AE32" i="12"/>
  <c r="AD32" i="12"/>
  <c r="AC32" i="12"/>
  <c r="AB32" i="12"/>
  <c r="AA32" i="12"/>
  <c r="Z32" i="12"/>
  <c r="Y32" i="12"/>
  <c r="K32" i="12"/>
  <c r="AH31" i="12"/>
  <c r="AG31" i="12"/>
  <c r="AF31" i="12"/>
  <c r="AE31" i="12"/>
  <c r="AD31" i="12"/>
  <c r="AC31" i="12"/>
  <c r="AB31" i="12"/>
  <c r="AA31" i="12"/>
  <c r="Z31" i="12"/>
  <c r="Y31" i="12"/>
  <c r="AH19" i="12"/>
  <c r="AG19" i="12"/>
  <c r="AF19" i="12"/>
  <c r="AE19" i="12"/>
  <c r="AD19" i="12"/>
  <c r="AC19" i="12"/>
  <c r="AB19" i="12"/>
  <c r="AA19" i="12"/>
  <c r="Z19" i="12"/>
  <c r="Y19" i="12"/>
  <c r="K19" i="12"/>
  <c r="AH28" i="12"/>
  <c r="AG28" i="12"/>
  <c r="AF28" i="12"/>
  <c r="AE28" i="12"/>
  <c r="AD28" i="12"/>
  <c r="AC28" i="12"/>
  <c r="AB28" i="12"/>
  <c r="AA28" i="12"/>
  <c r="Z28" i="12"/>
  <c r="K28" i="12"/>
  <c r="AH26" i="12"/>
  <c r="AG26" i="12"/>
  <c r="AF26" i="12"/>
  <c r="AE26" i="12"/>
  <c r="AD26" i="12"/>
  <c r="AC26" i="12"/>
  <c r="AB26" i="12"/>
  <c r="AA26" i="12"/>
  <c r="Z26" i="12"/>
  <c r="K26" i="12"/>
  <c r="AH23" i="12"/>
  <c r="AG23" i="12"/>
  <c r="AF23" i="12"/>
  <c r="AE23" i="12"/>
  <c r="AD23" i="12"/>
  <c r="AC23" i="12"/>
  <c r="AB23" i="12"/>
  <c r="AA23" i="12"/>
  <c r="Z23" i="12"/>
  <c r="Y23" i="12"/>
  <c r="K23" i="12"/>
  <c r="AH4" i="12"/>
  <c r="AG4" i="12"/>
  <c r="AF4" i="12"/>
  <c r="AE4" i="12"/>
  <c r="AD4" i="12"/>
  <c r="AC4" i="12"/>
  <c r="AB4" i="12"/>
  <c r="AA4" i="12"/>
  <c r="Z4" i="12"/>
  <c r="Y4" i="12"/>
  <c r="K4" i="12"/>
  <c r="AH12" i="12"/>
  <c r="AG12" i="12"/>
  <c r="AF12" i="12"/>
  <c r="AE12" i="12"/>
  <c r="AD12" i="12"/>
  <c r="AC12" i="12"/>
  <c r="AB12" i="12"/>
  <c r="AA12" i="12"/>
  <c r="Z12" i="12"/>
  <c r="Y12" i="12"/>
  <c r="K12" i="12"/>
  <c r="AH29" i="12"/>
  <c r="AG29" i="12"/>
  <c r="AF29" i="12"/>
  <c r="AE29" i="12"/>
  <c r="AD29" i="12"/>
  <c r="AC29" i="12"/>
  <c r="AB29" i="12"/>
  <c r="AA29" i="12"/>
  <c r="Z29" i="12"/>
  <c r="Y29" i="12"/>
  <c r="K29" i="12"/>
  <c r="AH15" i="12"/>
  <c r="AG15" i="12"/>
  <c r="AF15" i="12"/>
  <c r="AE15" i="12"/>
  <c r="AD15" i="12"/>
  <c r="AC15" i="12"/>
  <c r="AB15" i="12"/>
  <c r="AA15" i="12"/>
  <c r="Z15" i="12"/>
  <c r="Y15" i="12"/>
  <c r="K15" i="12"/>
  <c r="AH8" i="12"/>
  <c r="AG8" i="12"/>
  <c r="AF8" i="12"/>
  <c r="AE8" i="12"/>
  <c r="AD8" i="12"/>
  <c r="AC8" i="12"/>
  <c r="AB8" i="12"/>
  <c r="AA8" i="12"/>
  <c r="Z8" i="12"/>
  <c r="Y8" i="12"/>
  <c r="K8" i="12"/>
  <c r="AH16" i="12"/>
  <c r="AG16" i="12"/>
  <c r="AF16" i="12"/>
  <c r="AE16" i="12"/>
  <c r="AD16" i="12"/>
  <c r="AC16" i="12"/>
  <c r="AB16" i="12"/>
  <c r="AA16" i="12"/>
  <c r="Z16" i="12"/>
  <c r="Y16" i="12"/>
  <c r="K16" i="12"/>
  <c r="AH13" i="12"/>
  <c r="AG13" i="12"/>
  <c r="AF13" i="12"/>
  <c r="AE13" i="12"/>
  <c r="AD13" i="12"/>
  <c r="AC13" i="12"/>
  <c r="AB13" i="12"/>
  <c r="AA13" i="12"/>
  <c r="Z13" i="12"/>
  <c r="Y13" i="12"/>
  <c r="K13" i="12"/>
  <c r="AH24" i="12"/>
  <c r="AG24" i="12"/>
  <c r="AF24" i="12"/>
  <c r="AE24" i="12"/>
  <c r="AD24" i="12"/>
  <c r="AC24" i="12"/>
  <c r="AB24" i="12"/>
  <c r="AA24" i="12"/>
  <c r="Z24" i="12"/>
  <c r="Y24" i="12"/>
  <c r="K24" i="12"/>
  <c r="AH27" i="12"/>
  <c r="AG27" i="12"/>
  <c r="AF27" i="12"/>
  <c r="AE27" i="12"/>
  <c r="AD27" i="12"/>
  <c r="AC27" i="12"/>
  <c r="AB27" i="12"/>
  <c r="AA27" i="12"/>
  <c r="Z27" i="12"/>
  <c r="Y27" i="12"/>
  <c r="K27" i="12"/>
  <c r="AH11" i="12"/>
  <c r="AG11" i="12"/>
  <c r="AF11" i="12"/>
  <c r="AE11" i="12"/>
  <c r="AD11" i="12"/>
  <c r="AC11" i="12"/>
  <c r="AB11" i="12"/>
  <c r="AA11" i="12"/>
  <c r="Z11" i="12"/>
  <c r="Y11" i="12"/>
  <c r="K11" i="12"/>
  <c r="AH7" i="12"/>
  <c r="AG7" i="12"/>
  <c r="AF7" i="12"/>
  <c r="AE7" i="12"/>
  <c r="AD7" i="12"/>
  <c r="AC7" i="12"/>
  <c r="AB7" i="12"/>
  <c r="AA7" i="12"/>
  <c r="Z7" i="12"/>
  <c r="Y7" i="12"/>
  <c r="K7" i="12"/>
  <c r="AH9" i="12"/>
  <c r="AG9" i="12"/>
  <c r="AF9" i="12"/>
  <c r="AE9" i="12"/>
  <c r="AD9" i="12"/>
  <c r="AC9" i="12"/>
  <c r="AB9" i="12"/>
  <c r="AA9" i="12"/>
  <c r="Z9" i="12"/>
  <c r="Y9" i="12"/>
  <c r="K9" i="12"/>
  <c r="AH10" i="12"/>
  <c r="AG10" i="12"/>
  <c r="AF10" i="12"/>
  <c r="AE10" i="12"/>
  <c r="AD10" i="12"/>
  <c r="AC10" i="12"/>
  <c r="AB10" i="12"/>
  <c r="AA10" i="12"/>
  <c r="Z10" i="12"/>
  <c r="Y10" i="12"/>
  <c r="K10" i="12"/>
  <c r="AH5" i="12"/>
  <c r="AG5" i="12"/>
  <c r="AF5" i="12"/>
  <c r="AE5" i="12"/>
  <c r="AD5" i="12"/>
  <c r="AC5" i="12"/>
  <c r="AB5" i="12"/>
  <c r="AA5" i="12"/>
  <c r="Z5" i="12"/>
  <c r="K5" i="12"/>
  <c r="AH18" i="12"/>
  <c r="AG18" i="12"/>
  <c r="AF18" i="12"/>
  <c r="AE18" i="12"/>
  <c r="AD18" i="12"/>
  <c r="AC18" i="12"/>
  <c r="AB18" i="12"/>
  <c r="AA18" i="12"/>
  <c r="Z18" i="12"/>
  <c r="Y18" i="12"/>
  <c r="K18" i="12"/>
  <c r="AH6" i="12"/>
  <c r="AG6" i="12"/>
  <c r="AF6" i="12"/>
  <c r="AE6" i="12"/>
  <c r="AD6" i="12"/>
  <c r="AC6" i="12"/>
  <c r="AA6" i="12"/>
  <c r="Z6" i="12"/>
  <c r="Y6" i="12"/>
  <c r="K6" i="12"/>
  <c r="AH22" i="12"/>
  <c r="AG22" i="12"/>
  <c r="AF22" i="12"/>
  <c r="AE22" i="12"/>
  <c r="AD22" i="12"/>
  <c r="AC22" i="12"/>
  <c r="AB22" i="12"/>
  <c r="AA22" i="12"/>
  <c r="Z22" i="12"/>
  <c r="Y22" i="12"/>
  <c r="K22" i="12"/>
  <c r="AH20" i="12"/>
  <c r="AG20" i="12"/>
  <c r="AF20" i="12"/>
  <c r="AE20" i="12"/>
  <c r="AD20" i="12"/>
  <c r="AC20" i="12"/>
  <c r="AB20" i="12"/>
  <c r="AA20" i="12"/>
  <c r="Z20" i="12"/>
  <c r="Y20" i="12"/>
  <c r="K20" i="12"/>
  <c r="AH14" i="12"/>
  <c r="AG14" i="12"/>
  <c r="AF14" i="12"/>
  <c r="AE14" i="12"/>
  <c r="AD14" i="12"/>
  <c r="AC14" i="12"/>
  <c r="AB14" i="12"/>
  <c r="AA14" i="12"/>
  <c r="Z14" i="12"/>
  <c r="Y14" i="12"/>
  <c r="K14" i="12"/>
  <c r="AH17" i="12"/>
  <c r="AG17" i="12"/>
  <c r="AF17" i="12"/>
  <c r="AE17" i="12"/>
  <c r="AD17" i="12"/>
  <c r="AC17" i="12"/>
  <c r="AB17" i="12"/>
  <c r="AA17" i="12"/>
  <c r="Z17" i="12"/>
  <c r="Y17" i="12"/>
  <c r="K17" i="12"/>
  <c r="V44" i="10"/>
  <c r="S44" i="10"/>
  <c r="P44" i="10"/>
  <c r="M44" i="10"/>
  <c r="AH43" i="10"/>
  <c r="AG43" i="10"/>
  <c r="AF43" i="10"/>
  <c r="AE43" i="10"/>
  <c r="AD43" i="10"/>
  <c r="AC43" i="10"/>
  <c r="AB43" i="10"/>
  <c r="AA43" i="10"/>
  <c r="Z43" i="10"/>
  <c r="Y43" i="10"/>
  <c r="K43" i="10"/>
  <c r="C43" i="10"/>
  <c r="AH42" i="10"/>
  <c r="AG42" i="10"/>
  <c r="AF42" i="10"/>
  <c r="AE42" i="10"/>
  <c r="AD42" i="10"/>
  <c r="AC42" i="10"/>
  <c r="AB42" i="10"/>
  <c r="AA42" i="10"/>
  <c r="Z42" i="10"/>
  <c r="Y42" i="10"/>
  <c r="K42" i="10"/>
  <c r="C42" i="10"/>
  <c r="AH41" i="10"/>
  <c r="AG41" i="10"/>
  <c r="AF41" i="10"/>
  <c r="AE41" i="10"/>
  <c r="AD41" i="10"/>
  <c r="AC41" i="10"/>
  <c r="AB41" i="10"/>
  <c r="AA41" i="10"/>
  <c r="Z41" i="10"/>
  <c r="Y41" i="10"/>
  <c r="K41" i="10"/>
  <c r="C41" i="10"/>
  <c r="AH40" i="10"/>
  <c r="AG40" i="10"/>
  <c r="AF40" i="10"/>
  <c r="AE40" i="10"/>
  <c r="AD40" i="10"/>
  <c r="AC40" i="10"/>
  <c r="AB40" i="10"/>
  <c r="AA40" i="10"/>
  <c r="Z40" i="10"/>
  <c r="Y40" i="10"/>
  <c r="K40" i="10"/>
  <c r="C40" i="10"/>
  <c r="AH39" i="10"/>
  <c r="AG39" i="10"/>
  <c r="AF39" i="10"/>
  <c r="AE39" i="10"/>
  <c r="AD39" i="10"/>
  <c r="AC39" i="10"/>
  <c r="AB39" i="10"/>
  <c r="AA39" i="10"/>
  <c r="Z39" i="10"/>
  <c r="Y39" i="10"/>
  <c r="K39" i="10"/>
  <c r="C39" i="10"/>
  <c r="AH38" i="10"/>
  <c r="AG38" i="10"/>
  <c r="AF38" i="10"/>
  <c r="AE38" i="10"/>
  <c r="AD38" i="10"/>
  <c r="AC38" i="10"/>
  <c r="AB38" i="10"/>
  <c r="AA38" i="10"/>
  <c r="Z38" i="10"/>
  <c r="Y38" i="10"/>
  <c r="K38" i="10"/>
  <c r="C38" i="10"/>
  <c r="AH37" i="10"/>
  <c r="AG37" i="10"/>
  <c r="AF37" i="10"/>
  <c r="AE37" i="10"/>
  <c r="AD37" i="10"/>
  <c r="AC37" i="10"/>
  <c r="AB37" i="10"/>
  <c r="AA37" i="10"/>
  <c r="Z37" i="10"/>
  <c r="Y37" i="10"/>
  <c r="K37" i="10"/>
  <c r="C37" i="10"/>
  <c r="AH36" i="10"/>
  <c r="AG36" i="10"/>
  <c r="AF36" i="10"/>
  <c r="AE36" i="10"/>
  <c r="AD36" i="10"/>
  <c r="AC36" i="10"/>
  <c r="AB36" i="10"/>
  <c r="AA36" i="10"/>
  <c r="Z36" i="10"/>
  <c r="Y36" i="10"/>
  <c r="K36" i="10"/>
  <c r="C36" i="10"/>
  <c r="AH35" i="10"/>
  <c r="AG35" i="10"/>
  <c r="AF35" i="10"/>
  <c r="AE35" i="10"/>
  <c r="AD35" i="10"/>
  <c r="AC35" i="10"/>
  <c r="AB35" i="10"/>
  <c r="AA35" i="10"/>
  <c r="Z35" i="10"/>
  <c r="Y35" i="10"/>
  <c r="K35" i="10"/>
  <c r="C35" i="10"/>
  <c r="AH18" i="10"/>
  <c r="AG18" i="10"/>
  <c r="AF18" i="10"/>
  <c r="AE18" i="10"/>
  <c r="AD18" i="10"/>
  <c r="AC18" i="10"/>
  <c r="AB18" i="10"/>
  <c r="AA18" i="10"/>
  <c r="Z18" i="10"/>
  <c r="Y18" i="10"/>
  <c r="K18" i="10"/>
  <c r="AH33" i="10"/>
  <c r="AG33" i="10"/>
  <c r="AF33" i="10"/>
  <c r="AE33" i="10"/>
  <c r="AD33" i="10"/>
  <c r="AC33" i="10"/>
  <c r="AB33" i="10"/>
  <c r="AA33" i="10"/>
  <c r="Z33" i="10"/>
  <c r="Y33" i="10"/>
  <c r="K33" i="10"/>
  <c r="AH21" i="10"/>
  <c r="AG21" i="10"/>
  <c r="AF21" i="10"/>
  <c r="AE21" i="10"/>
  <c r="AD21" i="10"/>
  <c r="AC21" i="10"/>
  <c r="AB21" i="10"/>
  <c r="AA21" i="10"/>
  <c r="Z21" i="10"/>
  <c r="Y21" i="10"/>
  <c r="K21" i="10"/>
  <c r="AH20" i="10"/>
  <c r="AG20" i="10"/>
  <c r="AF20" i="10"/>
  <c r="AE20" i="10"/>
  <c r="AD20" i="10"/>
  <c r="AC20" i="10"/>
  <c r="AB20" i="10"/>
  <c r="AA20" i="10"/>
  <c r="Z20" i="10"/>
  <c r="Y20" i="10"/>
  <c r="K20" i="10"/>
  <c r="K27" i="10"/>
  <c r="K26" i="10"/>
  <c r="K19" i="10"/>
  <c r="AH34" i="10"/>
  <c r="AG34" i="10"/>
  <c r="AF34" i="10"/>
  <c r="AE34" i="10"/>
  <c r="AD34" i="10"/>
  <c r="AC34" i="10"/>
  <c r="AB34" i="10"/>
  <c r="AA34" i="10"/>
  <c r="Z34" i="10"/>
  <c r="Y34" i="10"/>
  <c r="K34" i="10"/>
  <c r="AH11" i="10"/>
  <c r="AG11" i="10"/>
  <c r="AF11" i="10"/>
  <c r="AE11" i="10"/>
  <c r="AD11" i="10"/>
  <c r="AC11" i="10"/>
  <c r="AB11" i="10"/>
  <c r="AA11" i="10"/>
  <c r="Z11" i="10"/>
  <c r="Y11" i="10"/>
  <c r="K11" i="10"/>
  <c r="AH12" i="10"/>
  <c r="AG12" i="10"/>
  <c r="AF12" i="10"/>
  <c r="AE12" i="10"/>
  <c r="AD12" i="10"/>
  <c r="AC12" i="10"/>
  <c r="AB12" i="10"/>
  <c r="AA12" i="10"/>
  <c r="Z12" i="10"/>
  <c r="Y12" i="10"/>
  <c r="K12" i="10"/>
  <c r="K25" i="10"/>
  <c r="AH32" i="10"/>
  <c r="AG32" i="10"/>
  <c r="AF32" i="10"/>
  <c r="AE32" i="10"/>
  <c r="AD32" i="10"/>
  <c r="AC32" i="10"/>
  <c r="AB32" i="10"/>
  <c r="AA32" i="10"/>
  <c r="Z32" i="10"/>
  <c r="Y32" i="10"/>
  <c r="K32" i="10"/>
  <c r="AH15" i="10"/>
  <c r="AG15" i="10"/>
  <c r="AF15" i="10"/>
  <c r="AE15" i="10"/>
  <c r="AD15" i="10"/>
  <c r="AC15" i="10"/>
  <c r="AB15" i="10"/>
  <c r="AA15" i="10"/>
  <c r="Z15" i="10"/>
  <c r="Y15" i="10"/>
  <c r="K15" i="10"/>
  <c r="AH7" i="10"/>
  <c r="AG7" i="10"/>
  <c r="AF7" i="10"/>
  <c r="AE7" i="10"/>
  <c r="AD7" i="10"/>
  <c r="AC7" i="10"/>
  <c r="AB7" i="10"/>
  <c r="AA7" i="10"/>
  <c r="Z7" i="10"/>
  <c r="Y7" i="10"/>
  <c r="K7" i="10"/>
  <c r="AH31" i="10"/>
  <c r="AG31" i="10"/>
  <c r="AF31" i="10"/>
  <c r="AE31" i="10"/>
  <c r="AD31" i="10"/>
  <c r="AC31" i="10"/>
  <c r="AB31" i="10"/>
  <c r="AA31" i="10"/>
  <c r="Z31" i="10"/>
  <c r="Y31" i="10"/>
  <c r="K31" i="10"/>
  <c r="AH6" i="10"/>
  <c r="AG6" i="10"/>
  <c r="AF6" i="10"/>
  <c r="AE6" i="10"/>
  <c r="AD6" i="10"/>
  <c r="AC6" i="10"/>
  <c r="AB6" i="10"/>
  <c r="AA6" i="10"/>
  <c r="Z6" i="10"/>
  <c r="Y6" i="10"/>
  <c r="K6" i="10"/>
  <c r="AH23" i="10"/>
  <c r="AG23" i="10"/>
  <c r="AF23" i="10"/>
  <c r="AE23" i="10"/>
  <c r="AD23" i="10"/>
  <c r="AC23" i="10"/>
  <c r="AB23" i="10"/>
  <c r="AA23" i="10"/>
  <c r="Z23" i="10"/>
  <c r="Y23" i="10"/>
  <c r="K23" i="10"/>
  <c r="K14" i="10"/>
  <c r="AH22" i="10"/>
  <c r="AG22" i="10"/>
  <c r="AF22" i="10"/>
  <c r="AE22" i="10"/>
  <c r="AD22" i="10"/>
  <c r="AC22" i="10"/>
  <c r="AB22" i="10"/>
  <c r="AA22" i="10"/>
  <c r="Z22" i="10"/>
  <c r="Y22" i="10"/>
  <c r="K22" i="10"/>
  <c r="AH29" i="10"/>
  <c r="AG29" i="10"/>
  <c r="AF29" i="10"/>
  <c r="AE29" i="10"/>
  <c r="AD29" i="10"/>
  <c r="AC29" i="10"/>
  <c r="AB29" i="10"/>
  <c r="AA29" i="10"/>
  <c r="Z29" i="10"/>
  <c r="Y29" i="10"/>
  <c r="K29" i="10"/>
  <c r="AH8" i="10"/>
  <c r="AG8" i="10"/>
  <c r="AF8" i="10"/>
  <c r="AE8" i="10"/>
  <c r="AD8" i="10"/>
  <c r="AC8" i="10"/>
  <c r="AB8" i="10"/>
  <c r="AA8" i="10"/>
  <c r="Z8" i="10"/>
  <c r="Y8" i="10"/>
  <c r="K8" i="10"/>
  <c r="AH9" i="10"/>
  <c r="AG9" i="10"/>
  <c r="AF9" i="10"/>
  <c r="AE9" i="10"/>
  <c r="AD9" i="10"/>
  <c r="AC9" i="10"/>
  <c r="AB9" i="10"/>
  <c r="AA9" i="10"/>
  <c r="Z9" i="10"/>
  <c r="Y9" i="10"/>
  <c r="K9" i="10"/>
  <c r="AH13" i="10"/>
  <c r="AG13" i="10"/>
  <c r="AF13" i="10"/>
  <c r="AE13" i="10"/>
  <c r="AD13" i="10"/>
  <c r="AC13" i="10"/>
  <c r="AB13" i="10"/>
  <c r="AA13" i="10"/>
  <c r="Z13" i="10"/>
  <c r="Y13" i="10"/>
  <c r="K13" i="10"/>
  <c r="AH30" i="10"/>
  <c r="AG30" i="10"/>
  <c r="AF30" i="10"/>
  <c r="AE30" i="10"/>
  <c r="AD30" i="10"/>
  <c r="AC30" i="10"/>
  <c r="AB30" i="10"/>
  <c r="AA30" i="10"/>
  <c r="Z30" i="10"/>
  <c r="Y30" i="10"/>
  <c r="K30" i="10"/>
  <c r="AH24" i="10"/>
  <c r="AG24" i="10"/>
  <c r="AF24" i="10"/>
  <c r="AE24" i="10"/>
  <c r="AD24" i="10"/>
  <c r="AC24" i="10"/>
  <c r="AB24" i="10"/>
  <c r="AA24" i="10"/>
  <c r="Z24" i="10"/>
  <c r="Y24" i="10"/>
  <c r="K24" i="10"/>
  <c r="AH10" i="10"/>
  <c r="AG10" i="10"/>
  <c r="AF10" i="10"/>
  <c r="AE10" i="10"/>
  <c r="AD10" i="10"/>
  <c r="AC10" i="10"/>
  <c r="AB10" i="10"/>
  <c r="AA10" i="10"/>
  <c r="Z10" i="10"/>
  <c r="Y10" i="10"/>
  <c r="K10" i="10"/>
  <c r="V52" i="9"/>
  <c r="S52" i="9"/>
  <c r="P52" i="9"/>
  <c r="AH41" i="9"/>
  <c r="AG41" i="9"/>
  <c r="AF41" i="9"/>
  <c r="AE41" i="9"/>
  <c r="AD41" i="9"/>
  <c r="AC41" i="9"/>
  <c r="AB41" i="9"/>
  <c r="AA41" i="9"/>
  <c r="Z41" i="9"/>
  <c r="Y41" i="9"/>
  <c r="K41" i="9"/>
  <c r="AH20" i="9"/>
  <c r="AG20" i="9"/>
  <c r="AF20" i="9"/>
  <c r="AE20" i="9"/>
  <c r="AD20" i="9"/>
  <c r="AC20" i="9"/>
  <c r="AB20" i="9"/>
  <c r="AA20" i="9"/>
  <c r="Z20" i="9"/>
  <c r="Y20" i="9"/>
  <c r="K20" i="9"/>
  <c r="AH26" i="9"/>
  <c r="AG26" i="9"/>
  <c r="AF26" i="9"/>
  <c r="AE26" i="9"/>
  <c r="AD26" i="9"/>
  <c r="AC26" i="9"/>
  <c r="AB26" i="9"/>
  <c r="AA26" i="9"/>
  <c r="Z26" i="9"/>
  <c r="Y26" i="9"/>
  <c r="K26" i="9"/>
  <c r="AH10" i="9"/>
  <c r="AG10" i="9"/>
  <c r="AF10" i="9"/>
  <c r="AE10" i="9"/>
  <c r="AD10" i="9"/>
  <c r="AC10" i="9"/>
  <c r="AB10" i="9"/>
  <c r="AA10" i="9"/>
  <c r="Z10" i="9"/>
  <c r="Y10" i="9"/>
  <c r="K10" i="9"/>
  <c r="AH39" i="9"/>
  <c r="AG39" i="9"/>
  <c r="AF39" i="9"/>
  <c r="AE39" i="9"/>
  <c r="AD39" i="9"/>
  <c r="AC39" i="9"/>
  <c r="AB39" i="9"/>
  <c r="AA39" i="9"/>
  <c r="Z39" i="9"/>
  <c r="Y39" i="9"/>
  <c r="K39" i="9"/>
  <c r="AH12" i="9"/>
  <c r="AG12" i="9"/>
  <c r="AF12" i="9"/>
  <c r="AE12" i="9"/>
  <c r="AD12" i="9"/>
  <c r="AC12" i="9"/>
  <c r="AB12" i="9"/>
  <c r="AA12" i="9"/>
  <c r="Z12" i="9"/>
  <c r="Y12" i="9"/>
  <c r="K12" i="9"/>
  <c r="AH13" i="9"/>
  <c r="AG13" i="9"/>
  <c r="AF13" i="9"/>
  <c r="AE13" i="9"/>
  <c r="AD13" i="9"/>
  <c r="AC13" i="9"/>
  <c r="AB13" i="9"/>
  <c r="AA13" i="9"/>
  <c r="Z13" i="9"/>
  <c r="Y13" i="9"/>
  <c r="K13" i="9"/>
  <c r="AH24" i="9"/>
  <c r="AG24" i="9"/>
  <c r="AF24" i="9"/>
  <c r="AE24" i="9"/>
  <c r="AD24" i="9"/>
  <c r="AC24" i="9"/>
  <c r="AB24" i="9"/>
  <c r="AA24" i="9"/>
  <c r="Z24" i="9"/>
  <c r="Y24" i="9"/>
  <c r="K24" i="9"/>
  <c r="AH4" i="9"/>
  <c r="AG4" i="9"/>
  <c r="AF4" i="9"/>
  <c r="AE4" i="9"/>
  <c r="AD4" i="9"/>
  <c r="AC4" i="9"/>
  <c r="AB4" i="9"/>
  <c r="AA4" i="9"/>
  <c r="Z4" i="9"/>
  <c r="Y4" i="9"/>
  <c r="K4" i="9"/>
  <c r="AH44" i="9"/>
  <c r="AG44" i="9"/>
  <c r="AF44" i="9"/>
  <c r="AE44" i="9"/>
  <c r="AD44" i="9"/>
  <c r="AC44" i="9"/>
  <c r="AB44" i="9"/>
  <c r="AA44" i="9"/>
  <c r="Z44" i="9"/>
  <c r="Y44" i="9"/>
  <c r="K44" i="9"/>
  <c r="AH25" i="9"/>
  <c r="AG25" i="9"/>
  <c r="AF25" i="9"/>
  <c r="AE25" i="9"/>
  <c r="AD25" i="9"/>
  <c r="AC25" i="9"/>
  <c r="AB25" i="9"/>
  <c r="AA25" i="9"/>
  <c r="Z25" i="9"/>
  <c r="Y25" i="9"/>
  <c r="K25" i="9"/>
  <c r="AH49" i="9"/>
  <c r="AG49" i="9"/>
  <c r="AF49" i="9"/>
  <c r="AE49" i="9"/>
  <c r="AD49" i="9"/>
  <c r="AC49" i="9"/>
  <c r="AB49" i="9"/>
  <c r="AA49" i="9"/>
  <c r="Z49" i="9"/>
  <c r="Y49" i="9"/>
  <c r="K49" i="9"/>
  <c r="AH17" i="9"/>
  <c r="AG17" i="9"/>
  <c r="AF17" i="9"/>
  <c r="AE17" i="9"/>
  <c r="AD17" i="9"/>
  <c r="AC17" i="9"/>
  <c r="AB17" i="9"/>
  <c r="AA17" i="9"/>
  <c r="Z17" i="9"/>
  <c r="Y17" i="9"/>
  <c r="K17" i="9"/>
  <c r="AH34" i="9"/>
  <c r="AG34" i="9"/>
  <c r="AF34" i="9"/>
  <c r="AE34" i="9"/>
  <c r="AD34" i="9"/>
  <c r="AC34" i="9"/>
  <c r="AB34" i="9"/>
  <c r="AA34" i="9"/>
  <c r="Z34" i="9"/>
  <c r="Y34" i="9"/>
  <c r="K34" i="9"/>
  <c r="AH16" i="9"/>
  <c r="AG16" i="9"/>
  <c r="AF16" i="9"/>
  <c r="AE16" i="9"/>
  <c r="AD16" i="9"/>
  <c r="AC16" i="9"/>
  <c r="AB16" i="9"/>
  <c r="AA16" i="9"/>
  <c r="Z16" i="9"/>
  <c r="Y16" i="9"/>
  <c r="K16" i="9"/>
  <c r="AH15" i="9"/>
  <c r="AG15" i="9"/>
  <c r="AF15" i="9"/>
  <c r="AE15" i="9"/>
  <c r="AD15" i="9"/>
  <c r="AC15" i="9"/>
  <c r="AB15" i="9"/>
  <c r="AA15" i="9"/>
  <c r="Z15" i="9"/>
  <c r="Y15" i="9"/>
  <c r="K15" i="9"/>
  <c r="AH14" i="9"/>
  <c r="AG14" i="9"/>
  <c r="AF14" i="9"/>
  <c r="AE14" i="9"/>
  <c r="AD14" i="9"/>
  <c r="AC14" i="9"/>
  <c r="AB14" i="9"/>
  <c r="AA14" i="9"/>
  <c r="Z14" i="9"/>
  <c r="Y14" i="9"/>
  <c r="K14" i="9"/>
  <c r="AH27" i="9"/>
  <c r="AG27" i="9"/>
  <c r="AF27" i="9"/>
  <c r="AE27" i="9"/>
  <c r="AD27" i="9"/>
  <c r="AC27" i="9"/>
  <c r="AB27" i="9"/>
  <c r="AA27" i="9"/>
  <c r="Z27" i="9"/>
  <c r="Y27" i="9"/>
  <c r="K27" i="9"/>
  <c r="AH6" i="9"/>
  <c r="AG6" i="9"/>
  <c r="AF6" i="9"/>
  <c r="AE6" i="9"/>
  <c r="AD6" i="9"/>
  <c r="AC6" i="9"/>
  <c r="AB6" i="9"/>
  <c r="AA6" i="9"/>
  <c r="Z6" i="9"/>
  <c r="Y6" i="9"/>
  <c r="K6" i="9"/>
  <c r="AH7" i="9"/>
  <c r="AG7" i="9"/>
  <c r="AF7" i="9"/>
  <c r="AE7" i="9"/>
  <c r="AD7" i="9"/>
  <c r="AC7" i="9"/>
  <c r="AB7" i="9"/>
  <c r="AA7" i="9"/>
  <c r="Z7" i="9"/>
  <c r="Y7" i="9"/>
  <c r="K7" i="9"/>
  <c r="AH19" i="9"/>
  <c r="AG19" i="9"/>
  <c r="AF19" i="9"/>
  <c r="AE19" i="9"/>
  <c r="AD19" i="9"/>
  <c r="AC19" i="9"/>
  <c r="AB19" i="9"/>
  <c r="AA19" i="9"/>
  <c r="Z19" i="9"/>
  <c r="Y19" i="9"/>
  <c r="K19" i="9"/>
  <c r="AH9" i="9"/>
  <c r="AG9" i="9"/>
  <c r="AF9" i="9"/>
  <c r="AE9" i="9"/>
  <c r="AD9" i="9"/>
  <c r="AC9" i="9"/>
  <c r="AB9" i="9"/>
  <c r="AA9" i="9"/>
  <c r="Z9" i="9"/>
  <c r="Y9" i="9"/>
  <c r="K9" i="9"/>
  <c r="AH50" i="9"/>
  <c r="AG50" i="9"/>
  <c r="AF50" i="9"/>
  <c r="AE50" i="9"/>
  <c r="AD50" i="9"/>
  <c r="AC50" i="9"/>
  <c r="AB50" i="9"/>
  <c r="AA50" i="9"/>
  <c r="Z50" i="9"/>
  <c r="Y50" i="9"/>
  <c r="K50" i="9"/>
  <c r="AH38" i="9"/>
  <c r="AG38" i="9"/>
  <c r="AF38" i="9"/>
  <c r="AE38" i="9"/>
  <c r="AD38" i="9"/>
  <c r="AC38" i="9"/>
  <c r="AB38" i="9"/>
  <c r="AA38" i="9"/>
  <c r="Z38" i="9"/>
  <c r="Y38" i="9"/>
  <c r="K38" i="9"/>
  <c r="AH33" i="9"/>
  <c r="AG33" i="9"/>
  <c r="AF33" i="9"/>
  <c r="AE33" i="9"/>
  <c r="AD33" i="9"/>
  <c r="AC33" i="9"/>
  <c r="AB33" i="9"/>
  <c r="AA33" i="9"/>
  <c r="Z33" i="9"/>
  <c r="Y33" i="9"/>
  <c r="K33" i="9"/>
  <c r="AH48" i="9"/>
  <c r="AG48" i="9"/>
  <c r="AF48" i="9"/>
  <c r="AE48" i="9"/>
  <c r="AD48" i="9"/>
  <c r="AC48" i="9"/>
  <c r="AB48" i="9"/>
  <c r="AA48" i="9"/>
  <c r="Z48" i="9"/>
  <c r="Y48" i="9"/>
  <c r="K48" i="9"/>
  <c r="AH21" i="9"/>
  <c r="AG21" i="9"/>
  <c r="AF21" i="9"/>
  <c r="AE21" i="9"/>
  <c r="AD21" i="9"/>
  <c r="AC21" i="9"/>
  <c r="AB21" i="9"/>
  <c r="AA21" i="9"/>
  <c r="Z21" i="9"/>
  <c r="Y21" i="9"/>
  <c r="K21" i="9"/>
  <c r="AH29" i="9"/>
  <c r="AG29" i="9"/>
  <c r="AF29" i="9"/>
  <c r="AE29" i="9"/>
  <c r="AD29" i="9"/>
  <c r="AC29" i="9"/>
  <c r="AB29" i="9"/>
  <c r="AA29" i="9"/>
  <c r="Z29" i="9"/>
  <c r="Y29" i="9"/>
  <c r="K29" i="9"/>
  <c r="AH30" i="9"/>
  <c r="AG30" i="9"/>
  <c r="AF30" i="9"/>
  <c r="AE30" i="9"/>
  <c r="AD30" i="9"/>
  <c r="AC30" i="9"/>
  <c r="AB30" i="9"/>
  <c r="AA30" i="9"/>
  <c r="Z30" i="9"/>
  <c r="Y30" i="9"/>
  <c r="K30" i="9"/>
  <c r="AH46" i="9"/>
  <c r="AG46" i="9"/>
  <c r="AF46" i="9"/>
  <c r="AE46" i="9"/>
  <c r="AD46" i="9"/>
  <c r="AC46" i="9"/>
  <c r="AB46" i="9"/>
  <c r="AA46" i="9"/>
  <c r="Z46" i="9"/>
  <c r="Y46" i="9"/>
  <c r="K46" i="9"/>
  <c r="AH5" i="9"/>
  <c r="AG5" i="9"/>
  <c r="AF5" i="9"/>
  <c r="AE5" i="9"/>
  <c r="AD5" i="9"/>
  <c r="AC5" i="9"/>
  <c r="AB5" i="9"/>
  <c r="AA5" i="9"/>
  <c r="Z5" i="9"/>
  <c r="Y5" i="9"/>
  <c r="K5" i="9"/>
  <c r="AH45" i="9"/>
  <c r="AG45" i="9"/>
  <c r="AF45" i="9"/>
  <c r="AE45" i="9"/>
  <c r="AD45" i="9"/>
  <c r="AC45" i="9"/>
  <c r="AB45" i="9"/>
  <c r="AA45" i="9"/>
  <c r="Z45" i="9"/>
  <c r="Y45" i="9"/>
  <c r="K45" i="9"/>
  <c r="AH31" i="9"/>
  <c r="AG31" i="9"/>
  <c r="AF31" i="9"/>
  <c r="AE31" i="9"/>
  <c r="AD31" i="9"/>
  <c r="AC31" i="9"/>
  <c r="AB31" i="9"/>
  <c r="AA31" i="9"/>
  <c r="Z31" i="9"/>
  <c r="Y31" i="9"/>
  <c r="K31" i="9"/>
  <c r="AH40" i="9"/>
  <c r="AG40" i="9"/>
  <c r="AF40" i="9"/>
  <c r="AE40" i="9"/>
  <c r="AD40" i="9"/>
  <c r="AC40" i="9"/>
  <c r="AB40" i="9"/>
  <c r="AA40" i="9"/>
  <c r="Z40" i="9"/>
  <c r="Y40" i="9"/>
  <c r="K40" i="9"/>
  <c r="K14" i="5"/>
  <c r="K37" i="5"/>
  <c r="K48" i="5"/>
  <c r="K39" i="5"/>
  <c r="K15" i="5"/>
  <c r="K5" i="5"/>
  <c r="K27" i="5"/>
  <c r="K8" i="5"/>
  <c r="K17" i="5"/>
  <c r="K11" i="5"/>
  <c r="K33" i="5"/>
  <c r="K18" i="5"/>
  <c r="K22" i="5"/>
  <c r="K29" i="5"/>
  <c r="K32" i="5"/>
  <c r="K30" i="5"/>
  <c r="K36" i="5"/>
  <c r="K16" i="5"/>
  <c r="K19" i="5"/>
  <c r="K6" i="5"/>
  <c r="K9" i="5"/>
  <c r="K20" i="5"/>
  <c r="K13" i="5"/>
  <c r="K7" i="5"/>
  <c r="K43" i="5"/>
  <c r="K4" i="5"/>
  <c r="K12" i="5"/>
  <c r="K10" i="5"/>
  <c r="K23" i="5"/>
  <c r="K42" i="5"/>
  <c r="K24" i="5"/>
  <c r="K47" i="5"/>
  <c r="K41" i="5"/>
  <c r="K26" i="5"/>
  <c r="K46" i="5"/>
  <c r="Y37" i="5"/>
  <c r="Z37" i="5"/>
  <c r="AA37" i="5"/>
  <c r="AB37" i="5"/>
  <c r="AC37" i="5"/>
  <c r="AD37" i="5"/>
  <c r="AE37" i="5"/>
  <c r="AF37" i="5"/>
  <c r="AG37" i="5"/>
  <c r="AH37" i="5"/>
  <c r="Y48" i="5"/>
  <c r="Z48" i="5"/>
  <c r="AA48" i="5"/>
  <c r="AB48" i="5"/>
  <c r="AC48" i="5"/>
  <c r="AD48" i="5"/>
  <c r="AE48" i="5"/>
  <c r="AF48" i="5"/>
  <c r="AG48" i="5"/>
  <c r="AH48" i="5"/>
  <c r="Y39" i="5"/>
  <c r="Z39" i="5"/>
  <c r="AA39" i="5"/>
  <c r="AB39" i="5"/>
  <c r="AC39" i="5"/>
  <c r="AD39" i="5"/>
  <c r="AE39" i="5"/>
  <c r="AF39" i="5"/>
  <c r="AG39" i="5"/>
  <c r="AH39" i="5"/>
  <c r="Y15" i="5"/>
  <c r="Z15" i="5"/>
  <c r="AA15" i="5"/>
  <c r="AB15" i="5"/>
  <c r="AC15" i="5"/>
  <c r="AD15" i="5"/>
  <c r="AE15" i="5"/>
  <c r="AF15" i="5"/>
  <c r="AG15" i="5"/>
  <c r="AH15" i="5"/>
  <c r="Y5" i="5"/>
  <c r="Z5" i="5"/>
  <c r="AA5" i="5"/>
  <c r="AB5" i="5"/>
  <c r="AC5" i="5"/>
  <c r="AD5" i="5"/>
  <c r="AE5" i="5"/>
  <c r="AF5" i="5"/>
  <c r="AG5" i="5"/>
  <c r="AH5" i="5"/>
  <c r="Y27" i="5"/>
  <c r="Z27" i="5"/>
  <c r="AA27" i="5"/>
  <c r="AB27" i="5"/>
  <c r="AC27" i="5"/>
  <c r="AD27" i="5"/>
  <c r="AE27" i="5"/>
  <c r="AF27" i="5"/>
  <c r="AG27" i="5"/>
  <c r="AH27" i="5"/>
  <c r="Y8" i="5"/>
  <c r="Z8" i="5"/>
  <c r="AA8" i="5"/>
  <c r="AB8" i="5"/>
  <c r="AC8" i="5"/>
  <c r="AD8" i="5"/>
  <c r="AE8" i="5"/>
  <c r="AF8" i="5"/>
  <c r="AG8" i="5"/>
  <c r="AH8" i="5"/>
  <c r="Y17" i="5"/>
  <c r="Z17" i="5"/>
  <c r="AA17" i="5"/>
  <c r="AB17" i="5"/>
  <c r="AC17" i="5"/>
  <c r="AD17" i="5"/>
  <c r="AE17" i="5"/>
  <c r="AF17" i="5"/>
  <c r="AG17" i="5"/>
  <c r="AH17" i="5"/>
  <c r="Y11" i="5"/>
  <c r="Z11" i="5"/>
  <c r="AA11" i="5"/>
  <c r="AB11" i="5"/>
  <c r="AC11" i="5"/>
  <c r="AD11" i="5"/>
  <c r="AE11" i="5"/>
  <c r="AF11" i="5"/>
  <c r="AG11" i="5"/>
  <c r="Y33" i="5"/>
  <c r="Z33" i="5"/>
  <c r="AA33" i="5"/>
  <c r="AB33" i="5"/>
  <c r="AC33" i="5"/>
  <c r="AD33" i="5"/>
  <c r="AE33" i="5"/>
  <c r="AF33" i="5"/>
  <c r="AG33" i="5"/>
  <c r="AH33" i="5"/>
  <c r="Y18" i="5"/>
  <c r="Z18" i="5"/>
  <c r="AA18" i="5"/>
  <c r="AB18" i="5"/>
  <c r="AC18" i="5"/>
  <c r="AD18" i="5"/>
  <c r="AE18" i="5"/>
  <c r="AF18" i="5"/>
  <c r="AG18" i="5"/>
  <c r="AH18" i="5"/>
  <c r="Y22" i="5"/>
  <c r="Z22" i="5"/>
  <c r="AA22" i="5"/>
  <c r="AB22" i="5"/>
  <c r="AC22" i="5"/>
  <c r="AD22" i="5"/>
  <c r="AE22" i="5"/>
  <c r="AF22" i="5"/>
  <c r="AG22" i="5"/>
  <c r="AH22" i="5"/>
  <c r="Y29" i="5"/>
  <c r="Z29" i="5"/>
  <c r="AA29" i="5"/>
  <c r="AB29" i="5"/>
  <c r="AC29" i="5"/>
  <c r="AD29" i="5"/>
  <c r="AE29" i="5"/>
  <c r="AF29" i="5"/>
  <c r="AG29" i="5"/>
  <c r="AH29" i="5"/>
  <c r="Y32" i="5"/>
  <c r="Z32" i="5"/>
  <c r="AA32" i="5"/>
  <c r="AB32" i="5"/>
  <c r="AC32" i="5"/>
  <c r="AD32" i="5"/>
  <c r="AE32" i="5"/>
  <c r="AF32" i="5"/>
  <c r="AG32" i="5"/>
  <c r="AH32" i="5"/>
  <c r="Y30" i="5"/>
  <c r="Z30" i="5"/>
  <c r="AA30" i="5"/>
  <c r="AB30" i="5"/>
  <c r="AC30" i="5"/>
  <c r="AD30" i="5"/>
  <c r="AE30" i="5"/>
  <c r="AF30" i="5"/>
  <c r="AG30" i="5"/>
  <c r="AH30" i="5"/>
  <c r="Y36" i="5"/>
  <c r="Z36" i="5"/>
  <c r="AA36" i="5"/>
  <c r="AB36" i="5"/>
  <c r="AC36" i="5"/>
  <c r="AD36" i="5"/>
  <c r="AE36" i="5"/>
  <c r="AF36" i="5"/>
  <c r="AG36" i="5"/>
  <c r="AH36" i="5"/>
  <c r="Y16" i="5"/>
  <c r="Z16" i="5"/>
  <c r="AA16" i="5"/>
  <c r="AB16" i="5"/>
  <c r="AC16" i="5"/>
  <c r="AD16" i="5"/>
  <c r="AE16" i="5"/>
  <c r="AF16" i="5"/>
  <c r="AG16" i="5"/>
  <c r="AH16" i="5"/>
  <c r="Y19" i="5"/>
  <c r="Z19" i="5"/>
  <c r="AA19" i="5"/>
  <c r="AB19" i="5"/>
  <c r="AC19" i="5"/>
  <c r="AD19" i="5"/>
  <c r="AE19" i="5"/>
  <c r="AF19" i="5"/>
  <c r="AG19" i="5"/>
  <c r="Y6" i="5"/>
  <c r="Z6" i="5"/>
  <c r="AA6" i="5"/>
  <c r="AB6" i="5"/>
  <c r="AC6" i="5"/>
  <c r="AD6" i="5"/>
  <c r="AE6" i="5"/>
  <c r="AF6" i="5"/>
  <c r="AG6" i="5"/>
  <c r="AH6" i="5"/>
  <c r="Y9" i="5"/>
  <c r="Z9" i="5"/>
  <c r="AA9" i="5"/>
  <c r="AB9" i="5"/>
  <c r="AC9" i="5"/>
  <c r="AD9" i="5"/>
  <c r="AE9" i="5"/>
  <c r="AF9" i="5"/>
  <c r="AG9" i="5"/>
  <c r="AH9" i="5"/>
  <c r="Y20" i="5"/>
  <c r="Z20" i="5"/>
  <c r="AA20" i="5"/>
  <c r="AB20" i="5"/>
  <c r="AC20" i="5"/>
  <c r="AD20" i="5"/>
  <c r="AE20" i="5"/>
  <c r="AF20" i="5"/>
  <c r="AG20" i="5"/>
  <c r="AH20" i="5"/>
  <c r="Y13" i="5"/>
  <c r="Z13" i="5"/>
  <c r="AA13" i="5"/>
  <c r="AB13" i="5"/>
  <c r="AC13" i="5"/>
  <c r="AD13" i="5"/>
  <c r="AE13" i="5"/>
  <c r="AF13" i="5"/>
  <c r="AG13" i="5"/>
  <c r="AH13" i="5"/>
  <c r="Y7" i="5"/>
  <c r="Z7" i="5"/>
  <c r="AA7" i="5"/>
  <c r="AB7" i="5"/>
  <c r="AC7" i="5"/>
  <c r="AD7" i="5"/>
  <c r="AE7" i="5"/>
  <c r="AF7" i="5"/>
  <c r="AG7" i="5"/>
  <c r="AH7" i="5"/>
  <c r="Y43" i="5"/>
  <c r="Z43" i="5"/>
  <c r="AA43" i="5"/>
  <c r="AB43" i="5"/>
  <c r="AC43" i="5"/>
  <c r="AD43" i="5"/>
  <c r="AE43" i="5"/>
  <c r="AF43" i="5"/>
  <c r="AG43" i="5"/>
  <c r="AH43" i="5"/>
  <c r="Y4" i="5"/>
  <c r="Z4" i="5"/>
  <c r="AA4" i="5"/>
  <c r="AB4" i="5"/>
  <c r="AC4" i="5"/>
  <c r="AD4" i="5"/>
  <c r="AE4" i="5"/>
  <c r="AF4" i="5"/>
  <c r="AG4" i="5"/>
  <c r="AH4" i="5"/>
  <c r="Y12" i="5"/>
  <c r="Z12" i="5"/>
  <c r="AA12" i="5"/>
  <c r="AB12" i="5"/>
  <c r="AC12" i="5"/>
  <c r="AD12" i="5"/>
  <c r="AE12" i="5"/>
  <c r="AF12" i="5"/>
  <c r="AG12" i="5"/>
  <c r="AH12" i="5"/>
  <c r="Y10" i="5"/>
  <c r="Z10" i="5"/>
  <c r="AA10" i="5"/>
  <c r="AB10" i="5"/>
  <c r="AC10" i="5"/>
  <c r="AD10" i="5"/>
  <c r="AE10" i="5"/>
  <c r="AF10" i="5"/>
  <c r="AG10" i="5"/>
  <c r="AH10" i="5"/>
  <c r="Y23" i="5"/>
  <c r="Z23" i="5"/>
  <c r="AA23" i="5"/>
  <c r="AB23" i="5"/>
  <c r="AC23" i="5"/>
  <c r="AD23" i="5"/>
  <c r="AE23" i="5"/>
  <c r="AF23" i="5"/>
  <c r="AG23" i="5"/>
  <c r="AH23" i="5"/>
  <c r="Y42" i="5"/>
  <c r="Z42" i="5"/>
  <c r="AA42" i="5"/>
  <c r="AB42" i="5"/>
  <c r="AC42" i="5"/>
  <c r="AD42" i="5"/>
  <c r="AE42" i="5"/>
  <c r="AF42" i="5"/>
  <c r="AG42" i="5"/>
  <c r="AH42" i="5"/>
  <c r="Y24" i="5"/>
  <c r="Z24" i="5"/>
  <c r="AA24" i="5"/>
  <c r="AB24" i="5"/>
  <c r="AC24" i="5"/>
  <c r="AD24" i="5"/>
  <c r="AE24" i="5"/>
  <c r="AF24" i="5"/>
  <c r="AG24" i="5"/>
  <c r="AH24" i="5"/>
  <c r="Y47" i="5"/>
  <c r="Z47" i="5"/>
  <c r="AA47" i="5"/>
  <c r="AB47" i="5"/>
  <c r="AC47" i="5"/>
  <c r="AD47" i="5"/>
  <c r="AE47" i="5"/>
  <c r="AF47" i="5"/>
  <c r="AG47" i="5"/>
  <c r="AH47" i="5"/>
  <c r="Y41" i="5"/>
  <c r="Z41" i="5"/>
  <c r="AA41" i="5"/>
  <c r="AB41" i="5"/>
  <c r="AC41" i="5"/>
  <c r="AD41" i="5"/>
  <c r="AE41" i="5"/>
  <c r="AF41" i="5"/>
  <c r="AG41" i="5"/>
  <c r="AH41" i="5"/>
  <c r="Y26" i="5"/>
  <c r="Z26" i="5"/>
  <c r="AA26" i="5"/>
  <c r="AB26" i="5"/>
  <c r="AC26" i="5"/>
  <c r="AD26" i="5"/>
  <c r="AE26" i="5"/>
  <c r="AF26" i="5"/>
  <c r="AG26" i="5"/>
  <c r="AH26" i="5"/>
  <c r="Y46" i="5"/>
  <c r="Z46" i="5"/>
  <c r="AA46" i="5"/>
  <c r="AB46" i="5"/>
  <c r="AC46" i="5"/>
  <c r="AD46" i="5"/>
  <c r="AE46" i="5"/>
  <c r="AF46" i="5"/>
  <c r="AG46" i="5"/>
  <c r="AH46" i="5"/>
  <c r="AH14" i="5"/>
  <c r="AG14" i="5"/>
  <c r="AF14" i="5"/>
  <c r="AE14" i="5"/>
  <c r="AD14" i="5"/>
  <c r="AC14" i="5"/>
  <c r="AB14" i="5"/>
  <c r="V51" i="5"/>
  <c r="S51" i="5"/>
  <c r="P51" i="5"/>
  <c r="M51" i="5"/>
  <c r="AA14" i="5"/>
  <c r="Z14" i="5"/>
  <c r="Y14" i="5"/>
  <c r="AI28" i="5" l="1"/>
  <c r="AJ28" i="5" s="1"/>
  <c r="AI21" i="5"/>
  <c r="AJ21" i="5" s="1"/>
  <c r="AI34" i="6"/>
  <c r="AJ34" i="6" s="1"/>
  <c r="AI8" i="7"/>
  <c r="AJ8" i="7" s="1"/>
  <c r="AI6" i="7"/>
  <c r="AJ6" i="7" s="1"/>
  <c r="AI11" i="7"/>
  <c r="AJ11" i="7" s="1"/>
  <c r="AI13" i="6"/>
  <c r="AJ13" i="6" s="1"/>
  <c r="AI15" i="6"/>
  <c r="AJ15" i="6" s="1"/>
  <c r="AI21" i="12"/>
  <c r="AJ21" i="12" s="1"/>
  <c r="AI25" i="12"/>
  <c r="AJ25" i="12" s="1"/>
  <c r="AI33" i="7"/>
  <c r="AJ33" i="7" s="1"/>
  <c r="AI48" i="6"/>
  <c r="AJ48" i="6" s="1"/>
  <c r="AI45" i="5"/>
  <c r="AJ45" i="5" s="1"/>
  <c r="AI44" i="5"/>
  <c r="AJ44" i="5" s="1"/>
  <c r="AI30" i="12"/>
  <c r="AJ30" i="12" s="1"/>
  <c r="AI40" i="5"/>
  <c r="AJ40" i="5" s="1"/>
  <c r="AI58" i="6"/>
  <c r="AJ58" i="6" s="1"/>
  <c r="AI57" i="6"/>
  <c r="AJ57" i="6" s="1"/>
  <c r="AI6" i="6"/>
  <c r="AJ6" i="6" s="1"/>
  <c r="AI42" i="9"/>
  <c r="AJ42" i="9" s="1"/>
  <c r="AI36" i="6"/>
  <c r="AJ36" i="6" s="1"/>
  <c r="AI5" i="6"/>
  <c r="AJ5" i="6" s="1"/>
  <c r="AI11" i="9"/>
  <c r="AJ11" i="9" s="1"/>
  <c r="AI8" i="9"/>
  <c r="AJ8" i="9" s="1"/>
  <c r="AI18" i="9"/>
  <c r="AJ18" i="9" s="1"/>
  <c r="AI22" i="9"/>
  <c r="AJ22" i="9" s="1"/>
  <c r="AI32" i="9"/>
  <c r="AJ32" i="9" s="1"/>
  <c r="AI51" i="9"/>
  <c r="AJ51" i="9" s="1"/>
  <c r="AI23" i="9"/>
  <c r="AJ23" i="9" s="1"/>
  <c r="AI4" i="6"/>
  <c r="AJ4" i="6" s="1"/>
  <c r="AI24" i="6"/>
  <c r="AJ24" i="6" s="1"/>
  <c r="AI14" i="6"/>
  <c r="AJ14" i="6" s="1"/>
  <c r="AI37" i="6"/>
  <c r="AJ37" i="6" s="1"/>
  <c r="AI51" i="6"/>
  <c r="AJ51" i="6" s="1"/>
  <c r="AI47" i="9"/>
  <c r="AJ47" i="9" s="1"/>
  <c r="AI43" i="9"/>
  <c r="AJ43" i="9" s="1"/>
  <c r="AI38" i="8"/>
  <c r="AJ38" i="8" s="1"/>
  <c r="AI45" i="6"/>
  <c r="AI31" i="12"/>
  <c r="AI19" i="12"/>
  <c r="AI26" i="12"/>
  <c r="AI35" i="10"/>
  <c r="AI20" i="10"/>
  <c r="AI16" i="12"/>
  <c r="AI27" i="10"/>
  <c r="AI35" i="12"/>
  <c r="AJ35" i="12" s="1"/>
  <c r="AI35" i="6"/>
  <c r="AI26" i="10"/>
  <c r="AI18" i="12"/>
  <c r="AI23" i="12"/>
  <c r="AI12" i="6"/>
  <c r="AI46" i="6"/>
  <c r="AI34" i="10"/>
  <c r="AI19" i="10"/>
  <c r="AI33" i="6"/>
  <c r="AI36" i="10"/>
  <c r="AI43" i="10"/>
  <c r="AJ43" i="10" s="1"/>
  <c r="AI12" i="12"/>
  <c r="AI10" i="6"/>
  <c r="AI8" i="6"/>
  <c r="AI54" i="6"/>
  <c r="AI20" i="6"/>
  <c r="AI27" i="6"/>
  <c r="AI11" i="10"/>
  <c r="AI40" i="10"/>
  <c r="AI52" i="6"/>
  <c r="AI7" i="6"/>
  <c r="AI42" i="10"/>
  <c r="AJ42" i="10" s="1"/>
  <c r="AI38" i="12"/>
  <c r="AJ38" i="12" s="1"/>
  <c r="AI37" i="12"/>
  <c r="AJ37" i="12" s="1"/>
  <c r="AI41" i="10"/>
  <c r="AI36" i="12"/>
  <c r="AJ36" i="12" s="1"/>
  <c r="AI50" i="6"/>
  <c r="AI18" i="10"/>
  <c r="AI28" i="6"/>
  <c r="AI32" i="6"/>
  <c r="AI21" i="10"/>
  <c r="AI28" i="12"/>
  <c r="AI12" i="10"/>
  <c r="AI25" i="10"/>
  <c r="AI32" i="10"/>
  <c r="AI6" i="10"/>
  <c r="AI7" i="12"/>
  <c r="AI6" i="12"/>
  <c r="AI9" i="12"/>
  <c r="AI10" i="12"/>
  <c r="AI5" i="12"/>
  <c r="AI5" i="8"/>
  <c r="AI4" i="8"/>
  <c r="AI14" i="7"/>
  <c r="AI12" i="7"/>
  <c r="AI18" i="7"/>
  <c r="AI36" i="7"/>
  <c r="AI9" i="7"/>
  <c r="AI4" i="7"/>
  <c r="AI25" i="7"/>
  <c r="AI7" i="7"/>
  <c r="AI27" i="7"/>
  <c r="AI39" i="7"/>
  <c r="AI21" i="7"/>
  <c r="AI10" i="7"/>
  <c r="AI5" i="7"/>
  <c r="AI22" i="7"/>
  <c r="AI20" i="7"/>
  <c r="AI38" i="7"/>
  <c r="AI34" i="7"/>
  <c r="AI29" i="7"/>
  <c r="AI19" i="7"/>
  <c r="AI16" i="7"/>
  <c r="AI21" i="6"/>
  <c r="AI42" i="6"/>
  <c r="AI19" i="6"/>
  <c r="AI22" i="10"/>
  <c r="AI29" i="10"/>
  <c r="AI8" i="10"/>
  <c r="AI9" i="10"/>
  <c r="AI13" i="10"/>
  <c r="AI30" i="10"/>
  <c r="AI24" i="10"/>
  <c r="AI10" i="10"/>
  <c r="AI22" i="12"/>
  <c r="AI26" i="7"/>
  <c r="AI13" i="7"/>
  <c r="AI17" i="7"/>
  <c r="AI32" i="7"/>
  <c r="AI23" i="7"/>
  <c r="AI31" i="7"/>
  <c r="AI40" i="7"/>
  <c r="AI30" i="7"/>
  <c r="AI15" i="7"/>
  <c r="AI35" i="7"/>
  <c r="AI24" i="7"/>
  <c r="AI37" i="7"/>
  <c r="AI28" i="7"/>
  <c r="AI44" i="6"/>
  <c r="AI22" i="6"/>
  <c r="AI49" i="6"/>
  <c r="AI29" i="6"/>
  <c r="AI16" i="6"/>
  <c r="AI43" i="6"/>
  <c r="AI23" i="6"/>
  <c r="AI31" i="6"/>
  <c r="AI25" i="6"/>
  <c r="AI26" i="6"/>
  <c r="AI53" i="6"/>
  <c r="AI17" i="6"/>
  <c r="AI47" i="6"/>
  <c r="AI18" i="6"/>
  <c r="AI9" i="6"/>
  <c r="AI11" i="6"/>
  <c r="AI30" i="6"/>
  <c r="AI8" i="12"/>
  <c r="AI15" i="12"/>
  <c r="AI32" i="12"/>
  <c r="AI20" i="12"/>
  <c r="AI13" i="12"/>
  <c r="AI14" i="12"/>
  <c r="AI24" i="12"/>
  <c r="AI27" i="12"/>
  <c r="AI4" i="12"/>
  <c r="AI34" i="12"/>
  <c r="AJ34" i="12" s="1"/>
  <c r="AI11" i="12"/>
  <c r="AI29" i="12"/>
  <c r="AI33" i="12"/>
  <c r="AJ33" i="12" s="1"/>
  <c r="AI17" i="12"/>
  <c r="AI31" i="10"/>
  <c r="AI14" i="10"/>
  <c r="AI33" i="10"/>
  <c r="AI23" i="10"/>
  <c r="AI7" i="10"/>
  <c r="AI37" i="10"/>
  <c r="AI15" i="10"/>
  <c r="AI38" i="10"/>
  <c r="AI39" i="10"/>
  <c r="AI41" i="9"/>
  <c r="AI9" i="9"/>
  <c r="AI50" i="9"/>
  <c r="AI38" i="9"/>
  <c r="AI19" i="9"/>
  <c r="AI25" i="9"/>
  <c r="AI31" i="9"/>
  <c r="AI33" i="9"/>
  <c r="AI48" i="9"/>
  <c r="AI21" i="9"/>
  <c r="AI40" i="9"/>
  <c r="AI29" i="9"/>
  <c r="AI6" i="9"/>
  <c r="AI30" i="9"/>
  <c r="AI44" i="9"/>
  <c r="AI46" i="9"/>
  <c r="AI20" i="9"/>
  <c r="AI5" i="9"/>
  <c r="AI45" i="9"/>
  <c r="AI7" i="9"/>
  <c r="AI27" i="9"/>
  <c r="AI4" i="9"/>
  <c r="AI14" i="9"/>
  <c r="AI12" i="9"/>
  <c r="AI39" i="9"/>
  <c r="AI49" i="9"/>
  <c r="AI10" i="9"/>
  <c r="AI17" i="9"/>
  <c r="AI26" i="9"/>
  <c r="AI34" i="9"/>
  <c r="AI13" i="9"/>
  <c r="AI16" i="9"/>
  <c r="AI24" i="9"/>
  <c r="AI15" i="9"/>
  <c r="AI14" i="5"/>
  <c r="AI19" i="5"/>
  <c r="AI22" i="5"/>
  <c r="AI4" i="5"/>
  <c r="AI26" i="5"/>
  <c r="AI42" i="5"/>
  <c r="AI10" i="5"/>
  <c r="AI18" i="5"/>
  <c r="AJ31" i="12" l="1"/>
  <c r="AJ45" i="6"/>
  <c r="AJ32" i="6"/>
  <c r="AJ10" i="10"/>
  <c r="AJ19" i="6"/>
  <c r="AJ26" i="12"/>
  <c r="AJ34" i="10"/>
  <c r="AJ24" i="10"/>
  <c r="AJ42" i="6"/>
  <c r="AJ12" i="10"/>
  <c r="AJ40" i="10"/>
  <c r="AJ7" i="6"/>
  <c r="AJ35" i="10"/>
  <c r="AJ25" i="10"/>
  <c r="AJ28" i="6"/>
  <c r="AJ35" i="6"/>
  <c r="AJ30" i="10"/>
  <c r="AJ11" i="10"/>
  <c r="AJ21" i="7"/>
  <c r="AJ27" i="7"/>
  <c r="AJ36" i="7"/>
  <c r="AJ22" i="5"/>
  <c r="AJ19" i="5"/>
  <c r="AJ14" i="5"/>
  <c r="AJ23" i="12"/>
  <c r="AJ40" i="9"/>
  <c r="AJ19" i="9"/>
  <c r="AJ44" i="9"/>
  <c r="AJ25" i="9"/>
  <c r="AJ45" i="9"/>
  <c r="AJ20" i="9"/>
  <c r="AJ4" i="8"/>
  <c r="AJ5" i="8"/>
  <c r="AJ20" i="12"/>
  <c r="AJ28" i="12"/>
  <c r="AJ19" i="12"/>
  <c r="AJ12" i="12"/>
  <c r="AJ18" i="7"/>
  <c r="AJ23" i="6"/>
  <c r="AJ9" i="6"/>
  <c r="AJ10" i="6"/>
  <c r="AJ8" i="6"/>
  <c r="AJ41" i="9"/>
  <c r="AJ41" i="10"/>
  <c r="AJ19" i="10"/>
  <c r="AJ20" i="10"/>
  <c r="AJ18" i="10"/>
  <c r="AJ33" i="10"/>
  <c r="AJ39" i="10"/>
  <c r="AJ16" i="12"/>
  <c r="AJ54" i="6"/>
  <c r="AJ12" i="6"/>
  <c r="AJ8" i="12"/>
  <c r="AJ52" i="6"/>
  <c r="AJ27" i="6"/>
  <c r="AJ46" i="6"/>
  <c r="AJ18" i="12"/>
  <c r="AJ33" i="6"/>
  <c r="AJ20" i="6"/>
  <c r="AJ26" i="10"/>
  <c r="AJ7" i="12"/>
  <c r="AJ21" i="10"/>
  <c r="AJ36" i="10"/>
  <c r="AJ50" i="6"/>
  <c r="AJ14" i="7"/>
  <c r="AJ29" i="12"/>
  <c r="AJ14" i="12"/>
  <c r="AJ27" i="10"/>
  <c r="AJ9" i="9"/>
  <c r="AJ32" i="10"/>
  <c r="AJ31" i="10"/>
  <c r="AJ6" i="10"/>
  <c r="AJ9" i="12"/>
  <c r="AJ6" i="12"/>
  <c r="AJ10" i="12"/>
  <c r="AJ5" i="12"/>
  <c r="AJ25" i="7"/>
  <c r="AJ12" i="7"/>
  <c r="AJ20" i="7"/>
  <c r="AJ7" i="7"/>
  <c r="AJ38" i="7"/>
  <c r="AJ4" i="7"/>
  <c r="AJ22" i="7"/>
  <c r="AJ9" i="7"/>
  <c r="AJ5" i="7"/>
  <c r="AJ39" i="7"/>
  <c r="AJ10" i="7"/>
  <c r="AJ34" i="7"/>
  <c r="AJ29" i="7"/>
  <c r="AJ19" i="7"/>
  <c r="AJ16" i="7"/>
  <c r="AJ21" i="6"/>
  <c r="AJ8" i="10"/>
  <c r="AJ14" i="10"/>
  <c r="AJ22" i="10"/>
  <c r="AJ29" i="10"/>
  <c r="AJ9" i="10"/>
  <c r="AJ13" i="10"/>
  <c r="AJ22" i="12"/>
  <c r="AJ23" i="7"/>
  <c r="AJ35" i="7"/>
  <c r="AJ15" i="7"/>
  <c r="AJ17" i="7"/>
  <c r="AJ30" i="7"/>
  <c r="AJ13" i="7"/>
  <c r="AJ26" i="7"/>
  <c r="AJ40" i="7"/>
  <c r="AJ32" i="7"/>
  <c r="AJ31" i="7"/>
  <c r="AJ28" i="7"/>
  <c r="AJ24" i="7"/>
  <c r="AJ37" i="7"/>
  <c r="AJ30" i="6"/>
  <c r="AJ18" i="6"/>
  <c r="AJ26" i="6"/>
  <c r="AJ49" i="6"/>
  <c r="AJ16" i="6"/>
  <c r="AJ47" i="6"/>
  <c r="AJ29" i="6"/>
  <c r="AJ17" i="6"/>
  <c r="AJ31" i="6"/>
  <c r="AJ11" i="6"/>
  <c r="AJ53" i="6"/>
  <c r="AJ25" i="6"/>
  <c r="AJ22" i="6"/>
  <c r="AJ43" i="6"/>
  <c r="AJ44" i="6"/>
  <c r="AJ13" i="12"/>
  <c r="AJ11" i="12"/>
  <c r="AJ4" i="12"/>
  <c r="AJ27" i="12"/>
  <c r="AJ17" i="12"/>
  <c r="AJ32" i="12"/>
  <c r="AJ24" i="12"/>
  <c r="AJ15" i="12"/>
  <c r="AJ23" i="10"/>
  <c r="AJ37" i="10"/>
  <c r="AJ15" i="10"/>
  <c r="AJ38" i="10"/>
  <c r="AJ7" i="10"/>
  <c r="AJ30" i="9"/>
  <c r="AJ50" i="9"/>
  <c r="AJ33" i="9"/>
  <c r="AJ5" i="9"/>
  <c r="AJ38" i="9"/>
  <c r="AJ48" i="9"/>
  <c r="AJ46" i="9"/>
  <c r="AJ21" i="9"/>
  <c r="AJ31" i="9"/>
  <c r="AJ6" i="9"/>
  <c r="AJ16" i="9"/>
  <c r="AJ29" i="9"/>
  <c r="AJ26" i="9"/>
  <c r="AJ10" i="9"/>
  <c r="AJ39" i="9"/>
  <c r="AJ17" i="9"/>
  <c r="AJ49" i="9"/>
  <c r="AJ13" i="9"/>
  <c r="AJ34" i="9"/>
  <c r="AJ15" i="9"/>
  <c r="AJ24" i="9"/>
  <c r="AJ12" i="9"/>
  <c r="AJ14" i="9"/>
  <c r="AJ4" i="9"/>
  <c r="AJ27" i="9"/>
  <c r="AJ7" i="9"/>
  <c r="AJ18" i="5"/>
  <c r="AJ10" i="5"/>
  <c r="AJ42" i="5"/>
  <c r="AJ26" i="5"/>
  <c r="AJ4" i="5"/>
  <c r="AI46" i="5" l="1"/>
  <c r="AI23" i="5"/>
  <c r="AI43" i="5"/>
  <c r="AI24" i="5"/>
  <c r="AI17" i="5"/>
  <c r="AI6" i="5"/>
  <c r="AI7" i="5"/>
  <c r="AI12" i="5"/>
  <c r="AI32" i="5"/>
  <c r="AI48" i="5"/>
  <c r="AI41" i="5"/>
  <c r="AI13" i="5"/>
  <c r="AI33" i="5"/>
  <c r="AI47" i="5"/>
  <c r="AI37" i="5"/>
  <c r="AI9" i="5"/>
  <c r="AI5" i="5"/>
  <c r="AI27" i="5"/>
  <c r="AI29" i="5"/>
  <c r="AI20" i="5"/>
  <c r="AI11" i="5"/>
  <c r="AI8" i="5"/>
  <c r="AI15" i="5"/>
  <c r="AI36" i="5"/>
  <c r="AI30" i="5"/>
  <c r="AI16" i="5"/>
  <c r="AI39" i="5"/>
  <c r="AJ39" i="5" l="1"/>
  <c r="AJ30" i="5"/>
  <c r="AJ15" i="5"/>
  <c r="AJ8" i="5"/>
  <c r="AJ11" i="5"/>
  <c r="AJ5" i="5"/>
  <c r="AJ33" i="5"/>
  <c r="AJ17" i="5"/>
  <c r="AJ20" i="5"/>
  <c r="AJ16" i="5"/>
  <c r="AJ36" i="5"/>
  <c r="AJ29" i="5"/>
  <c r="AJ27" i="5"/>
  <c r="AJ9" i="5"/>
  <c r="AJ37" i="5"/>
  <c r="AJ47" i="5"/>
  <c r="AJ13" i="5"/>
  <c r="AJ41" i="5"/>
  <c r="AJ48" i="5"/>
  <c r="AJ32" i="5"/>
  <c r="AJ12" i="5"/>
  <c r="AJ7" i="5"/>
  <c r="AJ6" i="5"/>
  <c r="AJ24" i="5"/>
  <c r="AJ43" i="5"/>
  <c r="AJ23" i="5"/>
  <c r="AJ46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<sst xmlns="http://schemas.openxmlformats.org/spreadsheetml/2006/main" count="2490" uniqueCount="505">
  <si>
    <t>REGIONAL</t>
  </si>
  <si>
    <t>KILLARNEY</t>
  </si>
  <si>
    <t>IDUBE</t>
  </si>
  <si>
    <t>ZWARTKOPS</t>
  </si>
  <si>
    <t>BEST NATIONAL POINTS</t>
  </si>
  <si>
    <t>TOTAL</t>
  </si>
  <si>
    <t>FINAL</t>
  </si>
  <si>
    <t>Rnk</t>
  </si>
  <si>
    <t>No.</t>
  </si>
  <si>
    <t>Name</t>
  </si>
  <si>
    <t>License #</t>
  </si>
  <si>
    <t>Region</t>
  </si>
  <si>
    <t>Chassis</t>
  </si>
  <si>
    <t>SARMC 1</t>
  </si>
  <si>
    <t>SARMC 2</t>
  </si>
  <si>
    <t>SARMC 3</t>
  </si>
  <si>
    <t>SARMC 4</t>
  </si>
  <si>
    <t>Total Bonus</t>
  </si>
  <si>
    <t>K1</t>
  </si>
  <si>
    <t>K2</t>
  </si>
  <si>
    <t>K3</t>
  </si>
  <si>
    <t>Z1</t>
  </si>
  <si>
    <t>Z2</t>
  </si>
  <si>
    <t>Z3</t>
  </si>
  <si>
    <t>Z4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</si>
  <si>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</si>
  <si>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</si>
  <si>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</si>
  <si>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</si>
  <si>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</si>
  <si>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</si>
  <si>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</si>
  <si>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</si>
  <si>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</si>
  <si>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</si>
  <si>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National</t>
  </si>
  <si>
    <t>NR</t>
  </si>
  <si>
    <t>Muhluri Ngobeni</t>
  </si>
  <si>
    <t>Gerrard Martin</t>
  </si>
  <si>
    <t>MOZ</t>
  </si>
  <si>
    <t>Tiane Resende</t>
  </si>
  <si>
    <t>Siyanda Nkwanyana</t>
  </si>
  <si>
    <t>Jamie Geldenhuys</t>
  </si>
  <si>
    <t>Zaid Panday</t>
  </si>
  <si>
    <t>WP</t>
  </si>
  <si>
    <t>Provisional subject to MSA</t>
  </si>
  <si>
    <t>Aven Bennett</t>
  </si>
  <si>
    <t>KZN</t>
  </si>
  <si>
    <t>LN</t>
  </si>
  <si>
    <t>Retlotleng Thekiso</t>
  </si>
  <si>
    <t>Zuan Breytenbach</t>
  </si>
  <si>
    <t>Justin Milleskie</t>
  </si>
  <si>
    <t>Mikko Arries</t>
  </si>
  <si>
    <t>CRG</t>
  </si>
  <si>
    <t>KR</t>
  </si>
  <si>
    <t>FK</t>
  </si>
  <si>
    <t>Geo Christl</t>
  </si>
  <si>
    <t>Killarney Raceway, Cape Town</t>
  </si>
  <si>
    <t>Vereeniging Kart Circuit, Vereeniging</t>
  </si>
  <si>
    <t>iDube Raceway, Pietermaritzburg</t>
  </si>
  <si>
    <t>Zwartkops Kart Raceway, Pretoria</t>
  </si>
  <si>
    <t>Formula K, Benoni</t>
  </si>
  <si>
    <t>09.08.2025</t>
  </si>
  <si>
    <t>12.04.2025</t>
  </si>
  <si>
    <t>Celso Scribante Kart Track, Port Elizabeth</t>
  </si>
  <si>
    <t>Namibia</t>
  </si>
  <si>
    <t>Windhoek</t>
  </si>
  <si>
    <t>14.06.2025</t>
  </si>
  <si>
    <t>Swakopmund</t>
  </si>
  <si>
    <t>19.07.2025</t>
  </si>
  <si>
    <t>Rotax Trophy TBA</t>
  </si>
  <si>
    <t>Mozambique</t>
  </si>
  <si>
    <t>22.02.2025</t>
  </si>
  <si>
    <t>Maputo</t>
  </si>
  <si>
    <t>10.05.2025</t>
  </si>
  <si>
    <t>07.06.2025</t>
  </si>
  <si>
    <t>CLASS</t>
  </si>
  <si>
    <t>CHASSIS</t>
  </si>
  <si>
    <t>ENGINE</t>
  </si>
  <si>
    <t>TYRES</t>
  </si>
  <si>
    <t>LNR</t>
  </si>
  <si>
    <t>PROVINCE</t>
  </si>
  <si>
    <t>BAM</t>
  </si>
  <si>
    <t>COMER</t>
  </si>
  <si>
    <t>MOJO</t>
  </si>
  <si>
    <t>Yinhla Makhubele</t>
  </si>
  <si>
    <t>Tyler Stanyer</t>
  </si>
  <si>
    <t>Che Makhubele</t>
  </si>
  <si>
    <t>Rofhiwa Ndwambi</t>
  </si>
  <si>
    <t>Zonkizizwe Holomisa</t>
  </si>
  <si>
    <t>Zwothe Magoda</t>
  </si>
  <si>
    <t>Teresa Bettencourt</t>
  </si>
  <si>
    <t>Tiyani Malabie</t>
  </si>
  <si>
    <t>Radhi Harris</t>
  </si>
  <si>
    <t>Handre Kukkuk</t>
  </si>
  <si>
    <t>Yaseen Panday</t>
  </si>
  <si>
    <t>Grayson Venter</t>
  </si>
  <si>
    <t>Alonzo De Oliveira</t>
  </si>
  <si>
    <t>Emelee Adriaans</t>
  </si>
  <si>
    <t>Sean Arde</t>
  </si>
  <si>
    <t>Melokuhle Ndlovu</t>
  </si>
  <si>
    <t>Sebastien Shuttleworth</t>
  </si>
  <si>
    <t>Yerhu Malabie</t>
  </si>
  <si>
    <t>Ashlyn Beaumont</t>
  </si>
  <si>
    <t>Aleena Doutie</t>
  </si>
  <si>
    <t>OE99997850</t>
  </si>
  <si>
    <t>D037</t>
  </si>
  <si>
    <t>Miya Mabunda</t>
  </si>
  <si>
    <t>Kgosi Mkhawana</t>
  </si>
  <si>
    <t>Ramaano Nesongozwi</t>
  </si>
  <si>
    <t>DD2</t>
  </si>
  <si>
    <t>Joseph Oelz</t>
  </si>
  <si>
    <t>01505</t>
  </si>
  <si>
    <t>Bradley Liebenberg</t>
  </si>
  <si>
    <t>ROTAX</t>
  </si>
  <si>
    <t>01012</t>
  </si>
  <si>
    <t>Gabriel Fernandez</t>
  </si>
  <si>
    <t>Reval Gayadin</t>
  </si>
  <si>
    <t>Shrien Naidoo</t>
  </si>
  <si>
    <t>Olerato Sekudu</t>
  </si>
  <si>
    <t>Nicolaos Vostanis</t>
  </si>
  <si>
    <t>Nikolas Roos</t>
  </si>
  <si>
    <t>06601</t>
  </si>
  <si>
    <t>Storm Lanfear</t>
  </si>
  <si>
    <t>Rafe Tayler</t>
  </si>
  <si>
    <t>Jamie Smith</t>
  </si>
  <si>
    <t>Dylan Rogers</t>
  </si>
  <si>
    <t>Tony Auby</t>
  </si>
  <si>
    <t>Ethan Deacon</t>
  </si>
  <si>
    <t>SOUTHAFRICA</t>
  </si>
  <si>
    <t>Ethan Stier</t>
  </si>
  <si>
    <t>02597</t>
  </si>
  <si>
    <t>Brandon Smith</t>
  </si>
  <si>
    <t>Jordon Wadeley</t>
  </si>
  <si>
    <t>Nikita Thieme</t>
  </si>
  <si>
    <t>NMSF630</t>
  </si>
  <si>
    <t>Zain Beuthin</t>
  </si>
  <si>
    <t>Matthew Wadeley</t>
  </si>
  <si>
    <t>Hannah Daniel</t>
  </si>
  <si>
    <t>Brent Walden</t>
  </si>
  <si>
    <t>Dusan Radojevic</t>
  </si>
  <si>
    <t>Klayden Ensor-Smith</t>
  </si>
  <si>
    <t>02917</t>
  </si>
  <si>
    <t>Sebastian Boyd</t>
  </si>
  <si>
    <t>05797</t>
  </si>
  <si>
    <t>Niko Zafiris</t>
  </si>
  <si>
    <t>Justus Beulker</t>
  </si>
  <si>
    <t>NMSF347</t>
  </si>
  <si>
    <t>Wayland Wyman</t>
  </si>
  <si>
    <t>02384</t>
  </si>
  <si>
    <t>Jason Coetzee</t>
  </si>
  <si>
    <t>01445</t>
  </si>
  <si>
    <t>Anwill April</t>
  </si>
  <si>
    <t>Muhammad Wally</t>
  </si>
  <si>
    <t>Cristiano Morgado</t>
  </si>
  <si>
    <t>Kobus Reyneke</t>
  </si>
  <si>
    <t>NMSF484</t>
  </si>
  <si>
    <t>Dave Feldman</t>
  </si>
  <si>
    <t>DDM</t>
  </si>
  <si>
    <t>Bjorn Roos</t>
  </si>
  <si>
    <t>Jimmy Auby</t>
  </si>
  <si>
    <t>Neville Chapman</t>
  </si>
  <si>
    <t>Michael Jordan</t>
  </si>
  <si>
    <t>Jonathan Wiehahn</t>
  </si>
  <si>
    <t>Cristian Bouche</t>
  </si>
  <si>
    <t>ATCM18</t>
  </si>
  <si>
    <t>Justin Rogers</t>
  </si>
  <si>
    <t>Steve Clark</t>
  </si>
  <si>
    <t>04489</t>
  </si>
  <si>
    <t>Jonathan Pieterse</t>
  </si>
  <si>
    <t>Carlo Gil</t>
  </si>
  <si>
    <t>Johan Hamman</t>
  </si>
  <si>
    <t>Jared Jordan</t>
  </si>
  <si>
    <t>Grant Veenstra</t>
  </si>
  <si>
    <t>Conor Hughes</t>
  </si>
  <si>
    <t>03618</t>
  </si>
  <si>
    <t>JUN</t>
  </si>
  <si>
    <t>Matthew Shuttleworth</t>
  </si>
  <si>
    <t>Michael Danks</t>
  </si>
  <si>
    <t>Ruan Lewis</t>
  </si>
  <si>
    <t>Raffaele Musso</t>
  </si>
  <si>
    <t>Emma Dowling</t>
  </si>
  <si>
    <t>Ashaan Reddi</t>
  </si>
  <si>
    <t>Keenan Du Plessis</t>
  </si>
  <si>
    <t>Mattao Mason</t>
  </si>
  <si>
    <t>Tshepang Shisinwana</t>
  </si>
  <si>
    <t>Zach Mcauley</t>
  </si>
  <si>
    <t>Wian Mulder</t>
  </si>
  <si>
    <t>Max Boshoff</t>
  </si>
  <si>
    <t>Cristian Verheul</t>
  </si>
  <si>
    <t>Munsanje Mukosa</t>
  </si>
  <si>
    <t>Kireev Chetty</t>
  </si>
  <si>
    <t>Sebastiano Human</t>
  </si>
  <si>
    <t>Durelle Goodman</t>
  </si>
  <si>
    <t>Michael Arde</t>
  </si>
  <si>
    <t>Andrew Retter</t>
  </si>
  <si>
    <t>Ty Naidoo</t>
  </si>
  <si>
    <t>Jordan Klaasen</t>
  </si>
  <si>
    <t>Connor Macintyre</t>
  </si>
  <si>
    <t>Aiden Beaumont</t>
  </si>
  <si>
    <t>Ryan Falconer</t>
  </si>
  <si>
    <t>Reagile Spice Mailula</t>
  </si>
  <si>
    <t>Matteo Saladino</t>
  </si>
  <si>
    <t>Lulama Ngobeni</t>
  </si>
  <si>
    <t>Georgia Lenaerts</t>
  </si>
  <si>
    <t>05874</t>
  </si>
  <si>
    <t>Caleb Moss</t>
  </si>
  <si>
    <t>Liphelo Debedu</t>
  </si>
  <si>
    <t>Jordan Wilson</t>
  </si>
  <si>
    <t>Troy Pieterse</t>
  </si>
  <si>
    <t>Courtney Milleskie</t>
  </si>
  <si>
    <t>Christiaan Marais</t>
  </si>
  <si>
    <t>MIC</t>
  </si>
  <si>
    <t>Adriaan Steyn</t>
  </si>
  <si>
    <t>Ruhan Victor</t>
  </si>
  <si>
    <t>Lwashu Mathebula</t>
  </si>
  <si>
    <t>Mia Hermanus</t>
  </si>
  <si>
    <t>Luhan De Wet</t>
  </si>
  <si>
    <t>Callum Du Toit</t>
  </si>
  <si>
    <t>Caleb Lingeveldt</t>
  </si>
  <si>
    <t>Connor Falconer</t>
  </si>
  <si>
    <t>Logan Roehrig</t>
  </si>
  <si>
    <t>Lehan Fourie</t>
  </si>
  <si>
    <t>0000</t>
  </si>
  <si>
    <t>Slater Smith</t>
  </si>
  <si>
    <t>Yaqeen Gamieldien</t>
  </si>
  <si>
    <t>Aston Verheul</t>
  </si>
  <si>
    <t>Liam Wharton</t>
  </si>
  <si>
    <t>Ronald Venter</t>
  </si>
  <si>
    <t>Jake Steyn</t>
  </si>
  <si>
    <t>Russell Josephat</t>
  </si>
  <si>
    <t>NMSF500</t>
  </si>
  <si>
    <t>Raidyn Reddy</t>
  </si>
  <si>
    <t>Luke Du Toit</t>
  </si>
  <si>
    <t>Michael Omahoney</t>
  </si>
  <si>
    <t>MIN</t>
  </si>
  <si>
    <t>Eduardo Campos</t>
  </si>
  <si>
    <t>Milan Fischer</t>
  </si>
  <si>
    <t>NMSF490</t>
  </si>
  <si>
    <t>Koketso Ndlovu</t>
  </si>
  <si>
    <t>Maddox Mason</t>
  </si>
  <si>
    <t>Bono Raphunga</t>
  </si>
  <si>
    <t>Jayden Van Der Merwe</t>
  </si>
  <si>
    <t>Kayde Cornofsky</t>
  </si>
  <si>
    <t>Christian Naidoo</t>
  </si>
  <si>
    <t>Brodi Cooper Dowling</t>
  </si>
  <si>
    <t>RS</t>
  </si>
  <si>
    <t>Qaanit Doutie</t>
  </si>
  <si>
    <t>Hunter North</t>
  </si>
  <si>
    <t>Aashay Nagura</t>
  </si>
  <si>
    <t>Matthew Naidoo</t>
  </si>
  <si>
    <t>Daniel Resende</t>
  </si>
  <si>
    <t>D03624MZ</t>
  </si>
  <si>
    <t>Nicolais Mostert</t>
  </si>
  <si>
    <t>Jose Slamet</t>
  </si>
  <si>
    <t>Kiyaan Reddi</t>
  </si>
  <si>
    <t>Zac Boshoff</t>
  </si>
  <si>
    <t>Zion Hair</t>
  </si>
  <si>
    <t>Igor Esteves</t>
  </si>
  <si>
    <t>Santiago Frade</t>
  </si>
  <si>
    <t>Diego Antunes</t>
  </si>
  <si>
    <t>Declan Jurgens</t>
  </si>
  <si>
    <t>Rafael De Sousa</t>
  </si>
  <si>
    <t>Logan Billau</t>
  </si>
  <si>
    <t>Andre Bettencourt</t>
  </si>
  <si>
    <t>ATCM925</t>
  </si>
  <si>
    <t>Alanzo Dias</t>
  </si>
  <si>
    <t>Kirthan Cross</t>
  </si>
  <si>
    <t>Ronaldo Koen</t>
  </si>
  <si>
    <t>Cecil Cecil Koorts</t>
  </si>
  <si>
    <t>NMFS471</t>
  </si>
  <si>
    <t>Paul Oosthuizen</t>
  </si>
  <si>
    <t>Zeph Hair</t>
  </si>
  <si>
    <t>Ruvan Maritz</t>
  </si>
  <si>
    <t>Mandume Kaiyamo</t>
  </si>
  <si>
    <t>NMSF468</t>
  </si>
  <si>
    <t>Nande Kaiyamo</t>
  </si>
  <si>
    <t>NMSF470</t>
  </si>
  <si>
    <t>Meso Thapedi</t>
  </si>
  <si>
    <t>SEN</t>
  </si>
  <si>
    <t>Liam Polome</t>
  </si>
  <si>
    <t>Kian Fussell</t>
  </si>
  <si>
    <t>Kyle Spies</t>
  </si>
  <si>
    <t>Luca Wehrli</t>
  </si>
  <si>
    <t>Travis Mingay</t>
  </si>
  <si>
    <t>Rudi Schussler</t>
  </si>
  <si>
    <t>Ethan Bostander</t>
  </si>
  <si>
    <t>Tristan Du Plessis</t>
  </si>
  <si>
    <t>Tayla Scrimgeour</t>
  </si>
  <si>
    <t>Kian Spies</t>
  </si>
  <si>
    <t>Joshua Hanstein</t>
  </si>
  <si>
    <t>Matthew Carter</t>
  </si>
  <si>
    <t>Roshaan Goodman</t>
  </si>
  <si>
    <t>Anele Nzimande</t>
  </si>
  <si>
    <t>Roxy Lange</t>
  </si>
  <si>
    <t>Rogan Jaggard</t>
  </si>
  <si>
    <t>Rethabile Shaun Thekiso</t>
  </si>
  <si>
    <t>Jesse Swart</t>
  </si>
  <si>
    <t>Corban Spies</t>
  </si>
  <si>
    <t>Tristan Botha</t>
  </si>
  <si>
    <t>Jude Stuart</t>
  </si>
  <si>
    <t>Uzair Khan</t>
  </si>
  <si>
    <t>01397</t>
  </si>
  <si>
    <t>Ghaniem Slamet</t>
  </si>
  <si>
    <t>Samar Maharaj</t>
  </si>
  <si>
    <t>William Marshall</t>
  </si>
  <si>
    <t>Tate Bishop</t>
  </si>
  <si>
    <t>Abi Rudd</t>
  </si>
  <si>
    <t>Jonno Wilson</t>
  </si>
  <si>
    <t>Ryan Berrington-Smit</t>
  </si>
  <si>
    <t>Dhivyen Naidoo</t>
  </si>
  <si>
    <t>03309</t>
  </si>
  <si>
    <t>04615</t>
  </si>
  <si>
    <t>Reece Ward</t>
  </si>
  <si>
    <t>Gianna Pascoal</t>
  </si>
  <si>
    <t>Luke Hill</t>
  </si>
  <si>
    <t>Keagan Beaumont</t>
  </si>
  <si>
    <t>TOP</t>
  </si>
  <si>
    <t>Malakai De Oliveira</t>
  </si>
  <si>
    <t>Azlan Singh</t>
  </si>
  <si>
    <t>Jaxon Holzapfel</t>
  </si>
  <si>
    <t>Hayden Allison</t>
  </si>
  <si>
    <t>Blake Van Deventer</t>
  </si>
  <si>
    <t>Jayden Minnie</t>
  </si>
  <si>
    <t>William Grant</t>
  </si>
  <si>
    <t>Elijah Fedderke</t>
  </si>
  <si>
    <t>Sebastian Fletcher</t>
  </si>
  <si>
    <t>Zayen Thesan</t>
  </si>
  <si>
    <t>Melokhule Ndlovu</t>
  </si>
  <si>
    <t>Kganya Mahlakoana</t>
  </si>
  <si>
    <t>SODI</t>
  </si>
  <si>
    <t>BIRELART</t>
  </si>
  <si>
    <t>TONY</t>
  </si>
  <si>
    <t>PRAGA</t>
  </si>
  <si>
    <t>PAROLIN</t>
  </si>
  <si>
    <t>KOSMIC</t>
  </si>
  <si>
    <t>Elektra Skordis</t>
  </si>
  <si>
    <t>HAASE</t>
  </si>
  <si>
    <t>NMSF</t>
  </si>
  <si>
    <t>Promise Malema</t>
  </si>
  <si>
    <t>ALL</t>
  </si>
  <si>
    <t>Charl Michael Visser</t>
  </si>
  <si>
    <t>Oratile Sadiki</t>
  </si>
  <si>
    <t>Guido Bidoli</t>
  </si>
  <si>
    <t>075</t>
  </si>
  <si>
    <t>Freddie Nunes</t>
  </si>
  <si>
    <t>D014</t>
  </si>
  <si>
    <t>EXPRIT</t>
  </si>
  <si>
    <t>RICCIARDO</t>
  </si>
  <si>
    <t>Justin Allison</t>
  </si>
  <si>
    <t>Alistair Mingay</t>
  </si>
  <si>
    <t>Chaice Van Koningsbrug</t>
  </si>
  <si>
    <t>OE202600007874</t>
  </si>
  <si>
    <t>LNK</t>
  </si>
  <si>
    <t>Jun</t>
  </si>
  <si>
    <t>EC</t>
  </si>
  <si>
    <t>Aurora Van Til</t>
  </si>
  <si>
    <t>EKR</t>
  </si>
  <si>
    <t>OTK</t>
  </si>
  <si>
    <t>Matthew Kern</t>
  </si>
  <si>
    <t>0842023</t>
  </si>
  <si>
    <t>Akeel Singh</t>
  </si>
  <si>
    <t>Okhethwaho Nangammbi</t>
  </si>
  <si>
    <t>Nkosinathi Mokhonoana</t>
  </si>
  <si>
    <t>Chandra Maharaj</t>
  </si>
  <si>
    <t>PENDING</t>
  </si>
  <si>
    <t>Aleksandar Praizovic</t>
  </si>
  <si>
    <t>Gury Dos Santos</t>
  </si>
  <si>
    <t>NMSF722</t>
  </si>
  <si>
    <t>Ethan Robertson</t>
  </si>
  <si>
    <t>Thendo Mulaudzi</t>
  </si>
  <si>
    <t>Jordan Jurgens</t>
  </si>
  <si>
    <t>Giuliana Saladino</t>
  </si>
  <si>
    <t>ATCM1026</t>
  </si>
  <si>
    <t>Ronan Brits</t>
  </si>
  <si>
    <t>Nicholas Fleming</t>
  </si>
  <si>
    <t>Juan Stander</t>
  </si>
  <si>
    <t>Ryan Wooldridge</t>
  </si>
  <si>
    <t>D01625MZ</t>
  </si>
  <si>
    <t>Parker Van Der Molen</t>
  </si>
  <si>
    <t>Liam Schonken</t>
  </si>
  <si>
    <t>Ruvan Anderson</t>
  </si>
  <si>
    <t>Joe Buckham</t>
  </si>
  <si>
    <t>OE202500006234</t>
  </si>
  <si>
    <t>Harrison Mackay-Davidson</t>
  </si>
  <si>
    <t>Gabriel Jubber</t>
  </si>
  <si>
    <t>Yonatan Fine</t>
  </si>
  <si>
    <t>000</t>
  </si>
  <si>
    <t>Rorisang Mafisa</t>
  </si>
  <si>
    <t>Egor Grishin</t>
  </si>
  <si>
    <t>Mayank Naidu</t>
  </si>
  <si>
    <t>REDSPEED</t>
  </si>
  <si>
    <t>Carel Van Der Merwe</t>
  </si>
  <si>
    <t>Yashsteel Chetty</t>
  </si>
  <si>
    <t>Darius De Lange</t>
  </si>
  <si>
    <t>Enzo Hennings</t>
  </si>
  <si>
    <t>Onwabile Mcinga</t>
  </si>
  <si>
    <t>OTHER</t>
  </si>
  <si>
    <t>Tane Farias</t>
  </si>
  <si>
    <t>Thamsanqa Konki</t>
  </si>
  <si>
    <t>Mitchell Claassen</t>
  </si>
  <si>
    <t>Caydance Krugel</t>
  </si>
  <si>
    <t>Charlie Millar</t>
  </si>
  <si>
    <t>Liam Teubes</t>
  </si>
  <si>
    <t>S152</t>
  </si>
  <si>
    <t>Ayden Koen</t>
  </si>
  <si>
    <t>Cale Van Den Berg</t>
  </si>
  <si>
    <t>Codi Phippen</t>
  </si>
  <si>
    <t>Aikhil Naicker</t>
  </si>
  <si>
    <t>Maverick Jubber</t>
  </si>
  <si>
    <t>Matt Haslam</t>
  </si>
  <si>
    <t>Daniel Labuschagne</t>
  </si>
  <si>
    <t>Liam Pillay</t>
  </si>
  <si>
    <t>Simthandile Tshabalala</t>
  </si>
  <si>
    <t>Praga</t>
  </si>
  <si>
    <t>NAM</t>
  </si>
  <si>
    <t>Amani Ndlovu</t>
  </si>
  <si>
    <t>2026 RMC South African Kart Championships</t>
  </si>
  <si>
    <t>2026 RMC Northern Regions Kart Championships</t>
  </si>
  <si>
    <t>2026 Western Province Kart Championships</t>
  </si>
  <si>
    <t>2026 KwaZulu-Natal Kart Championships</t>
  </si>
  <si>
    <t>2026 Eastern Cape Kart Championships</t>
  </si>
  <si>
    <t>28.03.2026</t>
  </si>
  <si>
    <t>14.06.2026</t>
  </si>
  <si>
    <t>29.08.2026</t>
  </si>
  <si>
    <t>28.02.2026</t>
  </si>
  <si>
    <t>16.05.2026</t>
  </si>
  <si>
    <t>04.07.2026</t>
  </si>
  <si>
    <t>01.08.2026</t>
  </si>
  <si>
    <t>18.04.2026</t>
  </si>
  <si>
    <t>06.06.2026</t>
  </si>
  <si>
    <t>08.08.2026</t>
  </si>
  <si>
    <t>01.03.2026</t>
  </si>
  <si>
    <t>12.04.2026</t>
  </si>
  <si>
    <t>25.07.2026</t>
  </si>
  <si>
    <t>23.05.2026</t>
  </si>
  <si>
    <t>20.06.2026</t>
  </si>
  <si>
    <t>-</t>
  </si>
  <si>
    <t>FK1</t>
  </si>
  <si>
    <t>FK2</t>
  </si>
  <si>
    <t>FK3</t>
  </si>
  <si>
    <t>Z1'</t>
  </si>
  <si>
    <t>Z2'</t>
  </si>
  <si>
    <t>Z3'</t>
  </si>
  <si>
    <t>Declan Berowsky</t>
  </si>
  <si>
    <t>Ethan Tuttleberg</t>
  </si>
  <si>
    <t>Troy Snyman</t>
  </si>
  <si>
    <t>Brooke Loreti</t>
  </si>
  <si>
    <t>CS55</t>
  </si>
  <si>
    <t>Jono Wilson</t>
  </si>
  <si>
    <t>Tyler Posthumus</t>
  </si>
  <si>
    <t>https://www.apex-timing.com/goracing/results.php?path=/rotax-south-africa/2026/nationalround2&amp;group=2</t>
  </si>
  <si>
    <t>https://www.apex-timing.com/goracing/results.php?path=/rotax-south-africa/2026/nationalround1&amp;group=2</t>
  </si>
  <si>
    <t>https://www.apex-timing.com/goracing/results.php?path=/rotax-south-africa/2026/regionalround1&amp;group=3</t>
  </si>
  <si>
    <t>https://www.apex-timing.com/goracing/results.php?path=/rotax-south-africa/2026/regionalround2&amp;group=11</t>
  </si>
  <si>
    <t>https://speedhive.mylaps.com/events/3457101</t>
  </si>
  <si>
    <t>https://speedhive.mylaps.com/events/3459936</t>
  </si>
  <si>
    <t>https://speedhive.mylaps.com/events/3467676</t>
  </si>
  <si>
    <t>https://speedhive.mylaps.com/events/3510039</t>
  </si>
  <si>
    <t>Zeeva Strydom</t>
  </si>
  <si>
    <t>Remi Coxon</t>
  </si>
  <si>
    <t>Marco Viegas</t>
  </si>
  <si>
    <t>Ebrahim Khalfey</t>
  </si>
  <si>
    <t>Jorden Moodley</t>
  </si>
  <si>
    <t>Pranjal Tejura</t>
  </si>
  <si>
    <t>Thato Motubatse</t>
  </si>
  <si>
    <t>ZIKR</t>
  </si>
  <si>
    <t>excl</t>
  </si>
  <si>
    <t>NMSF571</t>
  </si>
  <si>
    <t>Gabriel Figueiredo</t>
  </si>
  <si>
    <t>D01526MZ</t>
  </si>
  <si>
    <t>Pilossof Elijah</t>
  </si>
  <si>
    <t>ZIM</t>
  </si>
  <si>
    <t>Ben Goldbeck</t>
  </si>
  <si>
    <t>NMSF504</t>
  </si>
  <si>
    <t>Sean Njumbi</t>
  </si>
  <si>
    <t>KART05</t>
  </si>
  <si>
    <t>KEN</t>
  </si>
  <si>
    <t>Franco Steyn</t>
  </si>
  <si>
    <t>Abdulnassir Ahm Elmi</t>
  </si>
  <si>
    <t>KART042</t>
  </si>
  <si>
    <t>Rocco van Eeden</t>
  </si>
  <si>
    <t>NMSF588</t>
  </si>
  <si>
    <t>NAT 3 &amp; AO, Zwartkops Kart Raceway, Pretoria</t>
  </si>
  <si>
    <t>https://www.apex-timing.com/goracing/results.php?path=/rotax-south-africa/2026/NATIONALround3&amp;group=1</t>
  </si>
  <si>
    <t>https://www.apex-timing.com/goracing/results.php?path=/rotax-south-africa/2026/regionalround3&amp;group=2</t>
  </si>
  <si>
    <t>https://speedhive.mylaps.com/events/3544540</t>
  </si>
  <si>
    <t>https://speedhive.mylaps.com/events/3646641</t>
  </si>
  <si>
    <t>https://speedhive.mylaps.com/events/3628386</t>
  </si>
  <si>
    <t>Cody Sherratt</t>
  </si>
  <si>
    <t>28.06.2026</t>
  </si>
  <si>
    <t>https://speedhive.mylaps.com/events/3582441</t>
  </si>
  <si>
    <t>Devon Clark</t>
  </si>
  <si>
    <t>Liam Ludwig</t>
  </si>
  <si>
    <t>Reese Koorzen</t>
  </si>
  <si>
    <t>Ithan Guerras</t>
  </si>
  <si>
    <t>Madilola Phenyo</t>
  </si>
  <si>
    <t>Tristan Laubscher</t>
  </si>
  <si>
    <t>Zach Craft</t>
  </si>
  <si>
    <t>Kirthanya Naidoo</t>
  </si>
  <si>
    <t>Zaydaan Moosajee</t>
  </si>
  <si>
    <t>Luke van Zyl</t>
  </si>
  <si>
    <t>Ethan Zitha</t>
  </si>
  <si>
    <t>Kufara Chimuti</t>
  </si>
  <si>
    <t>DAP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</si>
</sst>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color theme="10"/>
      <name val="Calibri"/>
      <family val="2"/>
      <scheme val="minor"/>
    </font>
    <font>
      <b/>
      <sz val="22"/>
      <color theme="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1F497D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2E36"/>
        <bgColor indexed="64"/>
      </patternFill>
    </fill>
    <fill>
      <patternFill patternType="solid">
        <fgColor theme="1" tint="4.9989318521683403E-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6" applyNumberFormat="0" applyAlignment="0" applyProtection="0"/>
    <xf numFmtId="0" fontId="17" fillId="7" borderId="7" applyNumberFormat="0" applyAlignment="0" applyProtection="0"/>
    <xf numFmtId="0" fontId="18" fillId="7" borderId="6" applyNumberFormat="0" applyAlignment="0" applyProtection="0"/>
    <xf numFmtId="0" fontId="19" fillId="0" borderId="8" applyNumberFormat="0" applyFill="0" applyAlignment="0" applyProtection="0"/>
    <xf numFmtId="0" fontId="20" fillId="8" borderId="9" applyNumberFormat="0" applyAlignment="0" applyProtection="0"/>
    <xf numFmtId="0" fontId="4" fillId="0" borderId="0" applyNumberFormat="0" applyFill="0" applyBorder="0" applyAlignment="0" applyProtection="0"/>
    <xf numFmtId="0" fontId="8" fillId="9" borderId="10" applyNumberFormat="0" applyFont="0" applyAlignment="0" applyProtection="0"/>
    <xf numFmtId="0" fontId="21" fillId="0" borderId="0" applyNumberFormat="0" applyFill="0" applyBorder="0" applyAlignment="0" applyProtection="0"/>
    <xf numFmtId="0" fontId="3" fillId="0" borderId="11" applyNumberFormat="0" applyFill="0" applyAlignment="0" applyProtection="0"/>
    <xf numFmtId="0" fontId="22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22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2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2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2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2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</cellStyleXfs>
  <cellXfs count="137">
    <xf numFmtId="0" fontId="0" fillId="0" borderId="0" xfId="0"/>
    <xf numFmtId="14" fontId="5" fillId="0" borderId="0" xfId="0" applyNumberFormat="1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1" applyFont="1" applyAlignment="1" applyProtection="1"/>
    <xf numFmtId="0" fontId="7" fillId="0" borderId="0" xfId="1" applyFont="1" applyFill="1" applyAlignment="1" applyProtection="1"/>
    <xf numFmtId="14" fontId="6" fillId="0" borderId="0" xfId="0" applyNumberFormat="1" applyFont="1" applyAlignment="1">
      <alignment horizontal="left"/>
    </xf>
    <xf numFmtId="0" fontId="25" fillId="0" borderId="0" xfId="1" applyFont="1" applyFill="1" applyAlignment="1" applyProtection="1"/>
    <xf numFmtId="0" fontId="28" fillId="0" borderId="0" xfId="0" applyFont="1"/>
    <xf numFmtId="0" fontId="30" fillId="0" borderId="0" xfId="0" applyFont="1"/>
    <xf numFmtId="2" fontId="30" fillId="0" borderId="0" xfId="0" applyNumberFormat="1" applyFont="1"/>
    <xf numFmtId="0" fontId="30" fillId="0" borderId="0" xfId="0" applyFont="1" applyAlignment="1">
      <alignment horizontal="center"/>
    </xf>
    <xf numFmtId="0" fontId="29" fillId="0" borderId="0" xfId="0" applyFont="1"/>
    <xf numFmtId="2" fontId="29" fillId="0" borderId="0" xfId="0" applyNumberFormat="1" applyFont="1"/>
    <xf numFmtId="0" fontId="2" fillId="0" borderId="0" xfId="1" applyAlignment="1" applyProtection="1"/>
    <xf numFmtId="0" fontId="30" fillId="0" borderId="2" xfId="0" applyFont="1" applyBorder="1" applyAlignment="1">
      <alignment textRotation="90"/>
    </xf>
    <xf numFmtId="0" fontId="30" fillId="2" borderId="13" xfId="0" applyFont="1" applyFill="1" applyBorder="1" applyAlignment="1">
      <alignment textRotation="90"/>
    </xf>
    <xf numFmtId="0" fontId="30" fillId="0" borderId="12" xfId="0" applyFont="1" applyBorder="1" applyAlignment="1">
      <alignment textRotation="90"/>
    </xf>
    <xf numFmtId="0" fontId="30" fillId="0" borderId="13" xfId="0" applyFont="1" applyBorder="1" applyAlignment="1">
      <alignment textRotation="90"/>
    </xf>
    <xf numFmtId="0" fontId="29" fillId="2" borderId="16" xfId="0" applyFont="1" applyFill="1" applyBorder="1" applyAlignment="1">
      <alignment horizontal="center" textRotation="90"/>
    </xf>
    <xf numFmtId="0" fontId="30" fillId="0" borderId="19" xfId="0" applyFont="1" applyBorder="1"/>
    <xf numFmtId="0" fontId="30" fillId="2" borderId="0" xfId="0" applyFont="1" applyFill="1" applyAlignment="1">
      <alignment horizontal="center"/>
    </xf>
    <xf numFmtId="0" fontId="30" fillId="2" borderId="0" xfId="0" applyFont="1" applyFill="1"/>
    <xf numFmtId="0" fontId="31" fillId="2" borderId="0" xfId="0" applyFont="1" applyFill="1"/>
    <xf numFmtId="0" fontId="31" fillId="2" borderId="0" xfId="0" applyFont="1" applyFill="1" applyAlignment="1">
      <alignment horizontal="center"/>
    </xf>
    <xf numFmtId="0" fontId="29" fillId="2" borderId="0" xfId="0" applyFont="1" applyFill="1"/>
    <xf numFmtId="2" fontId="29" fillId="2" borderId="0" xfId="0" applyNumberFormat="1" applyFont="1" applyFill="1"/>
    <xf numFmtId="0" fontId="30" fillId="0" borderId="2" xfId="0" applyFont="1" applyBorder="1" applyAlignment="1">
      <alignment horizontal="left"/>
    </xf>
    <xf numFmtId="0" fontId="30" fillId="2" borderId="13" xfId="0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0" fontId="31" fillId="2" borderId="0" xfId="0" applyFont="1" applyFill="1" applyAlignment="1">
      <alignment horizontal="left"/>
    </xf>
    <xf numFmtId="0" fontId="30" fillId="2" borderId="0" xfId="0" applyFont="1" applyFill="1" applyAlignment="1">
      <alignment horizontal="left"/>
    </xf>
    <xf numFmtId="0" fontId="31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0" fillId="2" borderId="19" xfId="0" applyFont="1" applyFill="1" applyBorder="1" applyAlignment="1">
      <alignment horizontal="center"/>
    </xf>
    <xf numFmtId="0" fontId="30" fillId="2" borderId="2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0" fillId="0" borderId="12" xfId="0" applyFont="1" applyBorder="1" applyAlignment="1">
      <alignment horizontal="center" textRotation="90"/>
    </xf>
    <xf numFmtId="0" fontId="30" fillId="2" borderId="2" xfId="0" applyFont="1" applyFill="1" applyBorder="1" applyAlignment="1">
      <alignment horizontal="center" textRotation="90"/>
    </xf>
    <xf numFmtId="0" fontId="30" fillId="0" borderId="2" xfId="0" applyFont="1" applyBorder="1" applyAlignment="1">
      <alignment horizontal="center" textRotation="90"/>
    </xf>
    <xf numFmtId="0" fontId="30" fillId="0" borderId="13" xfId="0" applyFont="1" applyBorder="1" applyAlignment="1">
      <alignment horizontal="center" textRotation="90"/>
    </xf>
    <xf numFmtId="0" fontId="30" fillId="2" borderId="18" xfId="0" applyFont="1" applyFill="1" applyBorder="1" applyAlignment="1">
      <alignment horizontal="center"/>
    </xf>
    <xf numFmtId="0" fontId="30" fillId="2" borderId="25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0" fillId="0" borderId="23" xfId="0" applyFont="1" applyBorder="1" applyAlignment="1">
      <alignment horizontal="center" textRotation="9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5" fillId="0" borderId="0" xfId="0" applyNumberFormat="1" applyFont="1" applyAlignment="1">
      <alignment horizontal="left"/>
    </xf>
    <xf numFmtId="0" fontId="32" fillId="0" borderId="16" xfId="0" applyFont="1" applyBorder="1" applyAlignment="1">
      <alignment horizontal="center" vertical="center" wrapText="1"/>
    </xf>
    <xf numFmtId="2" fontId="32" fillId="0" borderId="16" xfId="0" applyNumberFormat="1" applyFont="1" applyBorder="1" applyAlignment="1">
      <alignment horizontal="center" vertical="center"/>
    </xf>
    <xf numFmtId="0" fontId="30" fillId="2" borderId="27" xfId="0" applyFont="1" applyFill="1" applyBorder="1" applyAlignment="1">
      <alignment horizontal="center"/>
    </xf>
    <xf numFmtId="2" fontId="29" fillId="2" borderId="17" xfId="0" applyNumberFormat="1" applyFont="1" applyFill="1" applyBorder="1" applyAlignment="1">
      <alignment horizontal="center" textRotation="90"/>
    </xf>
    <xf numFmtId="2" fontId="29" fillId="2" borderId="14" xfId="0" applyNumberFormat="1" applyFont="1" applyFill="1" applyBorder="1" applyAlignment="1">
      <alignment horizontal="center" textRotation="90"/>
    </xf>
    <xf numFmtId="0" fontId="3" fillId="0" borderId="0" xfId="0" applyFont="1" applyAlignment="1">
      <alignment horizontal="center"/>
    </xf>
    <xf numFmtId="0" fontId="3" fillId="0" borderId="29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1" xfId="0" applyBorder="1" applyAlignment="1">
      <alignment horizontal="center"/>
    </xf>
    <xf numFmtId="0" fontId="32" fillId="0" borderId="26" xfId="0" applyFont="1" applyBorder="1" applyAlignment="1">
      <alignment horizontal="center" vertical="center" wrapText="1"/>
    </xf>
    <xf numFmtId="2" fontId="32" fillId="0" borderId="26" xfId="0" applyNumberFormat="1" applyFont="1" applyBorder="1" applyAlignment="1">
      <alignment horizontal="center" vertical="center"/>
    </xf>
    <xf numFmtId="0" fontId="7" fillId="0" borderId="0" xfId="1" applyFont="1" applyAlignment="1" applyProtection="1">
      <alignment wrapText="1"/>
    </xf>
    <xf numFmtId="0" fontId="0" fillId="0" borderId="0" xfId="0" quotePrefix="1"/>
    <xf numFmtId="0" fontId="0" fillId="0" borderId="14" xfId="0" quotePrefix="1" applyBorder="1" applyAlignment="1">
      <alignment horizontal="center"/>
    </xf>
    <xf numFmtId="0" fontId="23" fillId="0" borderId="0" xfId="0" applyFont="1" applyAlignment="1">
      <alignment horizontal="center"/>
    </xf>
    <xf numFmtId="0" fontId="30" fillId="2" borderId="12" xfId="0" quotePrefix="1" applyFont="1" applyFill="1" applyBorder="1" applyAlignment="1">
      <alignment textRotation="90"/>
    </xf>
    <xf numFmtId="0" fontId="30" fillId="2" borderId="2" xfId="0" quotePrefix="1" applyFont="1" applyFill="1" applyBorder="1" applyAlignment="1">
      <alignment textRotation="90"/>
    </xf>
    <xf numFmtId="0" fontId="0" fillId="0" borderId="15" xfId="0" quotePrefix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8" xfId="0" applyBorder="1"/>
    <xf numFmtId="0" fontId="0" fillId="0" borderId="38" xfId="0" applyBorder="1" applyAlignment="1">
      <alignment horizontal="left"/>
    </xf>
    <xf numFmtId="0" fontId="0" fillId="0" borderId="40" xfId="0" applyBorder="1"/>
    <xf numFmtId="0" fontId="30" fillId="2" borderId="42" xfId="0" applyFont="1" applyFill="1" applyBorder="1" applyAlignment="1">
      <alignment horizontal="center"/>
    </xf>
    <xf numFmtId="2" fontId="29" fillId="2" borderId="16" xfId="0" applyNumberFormat="1" applyFont="1" applyFill="1" applyBorder="1" applyAlignment="1">
      <alignment horizontal="center" textRotation="90"/>
    </xf>
    <xf numFmtId="0" fontId="30" fillId="2" borderId="13" xfId="0" applyFont="1" applyFill="1" applyBorder="1" applyAlignment="1">
      <alignment horizontal="center"/>
    </xf>
    <xf numFmtId="0" fontId="30" fillId="2" borderId="43" xfId="0" applyFont="1" applyFill="1" applyBorder="1" applyAlignment="1">
      <alignment horizontal="center"/>
    </xf>
    <xf numFmtId="0" fontId="30" fillId="2" borderId="44" xfId="0" applyFont="1" applyFill="1" applyBorder="1" applyAlignment="1">
      <alignment horizontal="center"/>
    </xf>
    <xf numFmtId="0" fontId="30" fillId="0" borderId="44" xfId="0" applyFont="1" applyBorder="1"/>
    <xf numFmtId="0" fontId="30" fillId="0" borderId="44" xfId="0" applyFont="1" applyBorder="1" applyAlignment="1">
      <alignment horizontal="left"/>
    </xf>
    <xf numFmtId="0" fontId="30" fillId="2" borderId="45" xfId="0" applyFont="1" applyFill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/>
    </xf>
    <xf numFmtId="0" fontId="3" fillId="0" borderId="15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26" fillId="34" borderId="20" xfId="0" applyFont="1" applyFill="1" applyBorder="1" applyAlignment="1">
      <alignment horizontal="left" vertical="center"/>
    </xf>
    <xf numFmtId="0" fontId="27" fillId="34" borderId="21" xfId="0" applyFont="1" applyFill="1" applyBorder="1" applyAlignment="1">
      <alignment horizontal="left" vertical="center"/>
    </xf>
    <xf numFmtId="0" fontId="27" fillId="34" borderId="22" xfId="0" applyFont="1" applyFill="1" applyBorder="1" applyAlignment="1">
      <alignment horizontal="left" vertical="center"/>
    </xf>
    <xf numFmtId="0" fontId="29" fillId="35" borderId="14" xfId="0" applyFont="1" applyFill="1" applyBorder="1" applyAlignment="1">
      <alignment horizontal="center"/>
    </xf>
    <xf numFmtId="0" fontId="29" fillId="35" borderId="0" xfId="0" applyFont="1" applyFill="1" applyAlignment="1">
      <alignment horizontal="center"/>
    </xf>
    <xf numFmtId="0" fontId="33" fillId="0" borderId="14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29" fillId="35" borderId="33" xfId="0" applyFont="1" applyFill="1" applyBorder="1" applyAlignment="1">
      <alignment horizontal="center"/>
    </xf>
    <xf numFmtId="0" fontId="29" fillId="35" borderId="32" xfId="0" applyFont="1" applyFill="1" applyBorder="1" applyAlignment="1">
      <alignment horizontal="center"/>
    </xf>
    <xf numFmtId="0" fontId="32" fillId="0" borderId="33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 wrapText="1"/>
    </xf>
    <xf numFmtId="0" fontId="32" fillId="0" borderId="32" xfId="0" applyFont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0" fillId="0" borderId="26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2" fillId="0" borderId="14" xfId="0" quotePrefix="1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22" fillId="0" borderId="0" xfId="0" applyFont="1" applyBorder="1" applyAlignment="1">
      <alignment horizont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TSTXT" xfId="2" xr:uid="{00000000-0005-0000-0000-000002000000}"/>
    <cellStyle name="Title" xfId="3" builtinId="15" customBuiltin="1"/>
    <cellStyle name="Total" xfId="19" builtinId="25" customBuiltin="1"/>
    <cellStyle name="Warning Text" xfId="16" builtinId="11" customBuiltin="1"/>
  </cellStyles>
  <dxfs count="317"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alignment horizontal="center" vertical="bottom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alignment horizontal="center" vertical="bottom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alignment horizontal="center" vertical="bottom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alignment horizontal="center" vertical="bottom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alignment horizontal="center" vertical="bottom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alignment horizontal="center" vertical="bottom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alignment horizontal="center" vertical="bottom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alignment horizontal="center" vertical="bottom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alignment horizontal="center" vertical="bottom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alignment horizontal="center" vertical="bottom" wrapText="0" indent="0" justifyLastLine="0" shrinkToFit="0" readingOrder="0"/>
      <border diagonalUp="0" diagonalDown="0" outline="0">
        <left style="medium">
          <color indexed="64"/>
        </left>
        <top/>
        <bottom/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top/>
        <bottom/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top/>
        <bottom/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top/>
        <bottom/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 vertical="bottom" wrapText="0" indent="0" justifyLastLine="0" shrinkToFit="0" readingOrder="0"/>
      <border diagonalUp="0" diagonalDown="0">
        <left style="medium">
          <color indexed="64"/>
        </left>
        <right/>
        <top/>
        <bottom/>
      </border>
    </dxf>
    <dxf>
      <alignment horizontal="center" vertical="bottom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indent="0" justifyLastLine="0" shrinkToFit="0" readingOrder="0"/>
    </dxf>
    <dxf>
      <alignment horizontal="center" indent="0" justifyLastLine="0" shrinkToFit="0" readingOrder="0"/>
    </dxf>
    <dxf>
      <alignment horizontal="center" indent="0" justifyLastLine="0" shrinkToFit="0" readingOrder="0"/>
    </dxf>
    <dxf>
      <font>
        <b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vertic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numFmt numFmtId="0" formatCode="General"/>
      <alignment horizontal="left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alignment horizontal="center" vertical="bottom" wrapText="0" indent="0" justifyLastLine="0" shrinkToFit="0" readingOrder="0"/>
      <border diagonalUp="0" diagonalDown="0">
        <left style="medium">
          <color indexed="64"/>
        </left>
        <right/>
        <top/>
        <bottom/>
      </border>
    </dxf>
    <dxf>
      <alignment horizontal="center" vertical="bottom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indent="0" justifyLastLine="0" shrinkToFit="0" readingOrder="0"/>
    </dxf>
    <dxf>
      <alignment horizontal="center" indent="0" justifyLastLine="0" shrinkToFit="0" readingOrder="0"/>
    </dxf>
    <dxf>
      <alignment horizontal="center" indent="0" justifyLastLine="0" shrinkToFit="0" readingOrder="0"/>
    </dxf>
    <dxf>
      <font>
        <b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vertic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numFmt numFmtId="0" formatCode="General"/>
      <alignment horizontal="left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alignment horizontal="center" vertical="bottom" wrapText="0" indent="0" justifyLastLine="0" shrinkToFit="0" readingOrder="0"/>
      <border diagonalUp="0" diagonalDown="0">
        <left style="medium">
          <color indexed="64"/>
        </left>
        <right/>
        <top/>
        <bottom/>
      </border>
    </dxf>
    <dxf>
      <alignment horizontal="center" vertical="bottom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indent="0" justifyLastLine="0" shrinkToFit="0" readingOrder="0"/>
    </dxf>
    <dxf>
      <alignment horizontal="center" indent="0" justifyLastLine="0" shrinkToFit="0" readingOrder="0"/>
    </dxf>
    <dxf>
      <alignment horizontal="center" indent="0" justifyLastLine="0" shrinkToFit="0" readingOrder="0"/>
    </dxf>
    <dxf>
      <font>
        <b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vertic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numFmt numFmtId="0" formatCode="General"/>
      <alignment horizontal="left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wrapText="0" indent="0" justifyLastLine="0" shrinkToFit="0" readingOrder="0"/>
      <border diagonalUp="0" diagonalDown="0">
        <left style="medium">
          <color indexed="64"/>
        </left>
        <right/>
        <top/>
        <bottom/>
      </border>
    </dxf>
    <dxf>
      <alignment horizontal="center" vertical="bottom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indent="0" justifyLastLine="0" shrinkToFit="0" readingOrder="0"/>
    </dxf>
    <dxf>
      <alignment horizontal="center" indent="0" justifyLastLine="0" shrinkToFit="0" readingOrder="0"/>
    </dxf>
    <dxf>
      <alignment horizontal="center" indent="0" justifyLastLine="0" shrinkToFit="0" readingOrder="0"/>
    </dxf>
    <dxf>
      <font>
        <b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vertic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numFmt numFmtId="0" formatCode="General"/>
      <alignment horizontal="left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alignment horizontal="center" vertical="bottom" wrapText="0" indent="0" justifyLastLine="0" shrinkToFit="0" readingOrder="0"/>
    </dxf>
    <dxf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  <horizontal/>
      </border>
    </dxf>
    <dxf>
      <alignment horizontal="center" indent="0" justifyLastLine="0" shrinkToFit="0" readingOrder="0"/>
    </dxf>
    <dxf>
      <alignment horizontal="center" indent="0" justifyLastLine="0" shrinkToFit="0" readingOrder="0"/>
    </dxf>
    <dxf>
      <alignment horizontal="center" indent="0" justifyLastLine="0" shrinkToFit="0" readingOrder="0"/>
      <border diagonalUp="0" diagonalDown="0">
        <left style="medium">
          <color indexed="64"/>
        </left>
        <top/>
        <bottom/>
        <horizontal/>
      </border>
    </dxf>
    <dxf>
      <font>
        <b/>
      </font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  <horizontal/>
      </border>
    </dxf>
    <dxf>
      <numFmt numFmtId="0" formatCode="General"/>
      <alignment horizontal="left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alignment horizontal="center" vertical="bottom" wrapText="0" indent="0" justifyLastLine="0" shrinkToFit="0" readingOrder="0"/>
      <border diagonalUp="0" diagonalDown="0">
        <left style="medium">
          <color indexed="64"/>
        </left>
        <right/>
        <top/>
        <bottom/>
      </border>
    </dxf>
    <dxf>
      <alignment horizontal="center" vertical="bottom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</dxf>
    <dxf>
      <numFmt numFmtId="0" formatCode="General"/>
      <alignment horizontal="center" vertical="bottom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alignment horizontal="center" indent="0" justifyLastLine="0" shrinkToFit="0" readingOrder="0"/>
    </dxf>
    <dxf>
      <alignment horizontal="center" indent="0" justifyLastLine="0" shrinkToFit="0" readingOrder="0"/>
    </dxf>
    <dxf>
      <alignment horizontal="center" indent="0" justifyLastLine="0" shrinkToFit="0" readingOrder="0"/>
    </dxf>
    <dxf>
      <font>
        <b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vertic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top/>
        <bottom/>
      </border>
    </dxf>
    <dxf>
      <numFmt numFmtId="0" formatCode="General"/>
      <alignment horizontal="left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colors>
    <mruColors>
      <color rgb="FFF2F0F0"/>
      <color rgb="FFE72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3224804-DA6C-4F29-8D82-8FD4EC3C3A0A}" name="Table6234" displayName="Table6234" ref="A3:AJ38" totalsRowShown="0" headerRowDxfId="277" headerRowBorderDxfId="276" tableBorderDxfId="275">
  <autoFilter ref="A3:AJ38" xr:uid="{33224804-DA6C-4F29-8D82-8FD4EC3C3A0A}"/>
  <sortState xmlns:xlrd2="http://schemas.microsoft.com/office/spreadsheetml/2017/richdata2" ref="A4:AJ38">
    <sortCondition descending="1" ref="AJ4:AJ38"/>
  </sortState>
  <tableColumns count="36">
    <tableColumn id="1" xr3:uid="{74BC5A51-159C-4211-B1EB-F2E8AA5B42BF}" name="Rnk" dataDxfId="274"/>
    <tableColumn id="2" xr3:uid="{89F1C663-49A7-41C0-A2D3-66C564AF6459}" name="No." dataDxfId="273"/>
    <tableColumn id="3" xr3:uid="{6E4B34E7-84D2-4D38-AA93-85F526762073}" name="Name" dataDxfId="272">
      <calculatedColumnFormula>_xlfn.XLOOKUP(Table6234[[#This Row],[No.]],Sheet2!B:B,Sheet2!C:C)</calculatedColumnFormula>
    </tableColumn>
    <tableColumn id="4" xr3:uid="{E005406D-E6E1-4946-AA69-37045B4BABCE}" name="License #" dataDxfId="271">
      <calculatedColumnFormula>_xlfn.XLOOKUP(Table6234[[#This Row],[No.]],Sheet2!B:B,Sheet2!G:G)</calculatedColumnFormula>
    </tableColumn>
    <tableColumn id="5" xr3:uid="{B1589E23-B594-4051-8E1B-5EA0643C6D4A}" name="Region" dataDxfId="270">
      <calculatedColumnFormula>_xlfn.XLOOKUP(Table6234[[#This Row],[No.]],Sheet2!B:B,Sheet2!H:H)</calculatedColumnFormula>
    </tableColumn>
    <tableColumn id="6" xr3:uid="{D1BE9FAF-1104-4B0F-9B5B-688E85FA46DF}" name="Chassis" dataDxfId="269">
      <calculatedColumnFormula>_xlfn.XLOOKUP(Table6234[[#This Row],[No.]],Sheet2!B:B,Sheet2!D:D)</calculatedColumnFormula>
    </tableColumn>
    <tableColumn id="7" xr3:uid="{26DA063E-44BF-4B02-B4AB-E6BB407A8044}" name="SARMC 1" dataDxfId="268"/>
    <tableColumn id="8" xr3:uid="{6837B209-D751-4387-B922-2364858F51EE}" name="SARMC 2" dataDxfId="267"/>
    <tableColumn id="9" xr3:uid="{AEECFE51-2BA0-4E22-AC39-EDDF69F517C8}" name="SARMC 3" dataDxfId="266"/>
    <tableColumn id="10" xr3:uid="{0D2A87E7-319A-4E90-B109-AE33712B3BF1}" name="SARMC 4" dataDxfId="265"/>
    <tableColumn id="11" xr3:uid="{04214F60-F3BE-44FB-A7FE-29F6615F996B}" name="Total Bonus" dataDxfId="264">
      <calculatedColumnFormula>SUM(Table6234[[#This Row],[SARMC 1]:[SARMC 4]])</calculatedColumnFormula>
    </tableColumn>
    <tableColumn id="12" xr3:uid="{C1F233E6-D339-448A-8F42-20F5786EE69B}" name="K1" dataDxfId="263"/>
    <tableColumn id="13" xr3:uid="{53CD792B-ADB4-4606-97F1-1E84B7228E52}" name="K2" dataDxfId="262"/>
    <tableColumn id="14" xr3:uid="{A48DAD61-1CF1-43ED-AF18-0829CFB116E5}" name="K3" dataDxfId="261"/>
    <tableColumn id="15" xr3:uid="{A482398D-FABE-4994-B1AA-83F025AB421E}" name="FK1" dataDxfId="260"/>
    <tableColumn id="16" xr3:uid="{49024EB7-D177-419A-91F8-0C4F1A9506F8}" name="FK2" dataDxfId="259"/>
    <tableColumn id="17" xr3:uid="{C2C63382-26B9-43BF-8F4F-C70DE6FE8BE4}" name="FK3" dataDxfId="258"/>
    <tableColumn id="18" xr3:uid="{62CD3170-D625-4CB6-BAF4-8C6BB6B2A494}" name="Z1" dataDxfId="257"/>
    <tableColumn id="19" xr3:uid="{F72086C8-52C1-44B2-AC91-AB1B585D4ACB}" name="Z2" dataDxfId="256"/>
    <tableColumn id="20" xr3:uid="{894908A4-7B44-4690-BFCF-2A3C4DD9C421}" name="Z3" dataDxfId="255"/>
    <tableColumn id="21" xr3:uid="{FF6FB31E-5E2B-4E89-9B7D-9D23DE624B15}" name="Z1'" dataDxfId="254"/>
    <tableColumn id="22" xr3:uid="{051DBD0F-8AE7-4F18-A7B9-0532D98BF107}" name="Z2'" dataDxfId="253"/>
    <tableColumn id="23" xr3:uid="{AE18EB2D-4508-4C61-80DB-982F124D9D24}" name="Z3'" dataDxfId="252"/>
    <tableColumn id="24" xr3:uid="{9862D87E-E219-46FA-919A-598C37CFCE4C}" name="Z4" dataDxfId="251"/>
    <tableColumn id="25" xr3:uid="{5816219F-09C3-4C9F-ADFD-A0409592B8BD}" name="1" dataDxfId="250">
      <calculatedColumnFormula>LARGE((Table6234[[#This Row],[K1]:[Z4]]),1)</calculatedColumnFormula>
    </tableColumn>
    <tableColumn id="26" xr3:uid="{60A90F2A-A54B-4EA9-A767-76505650B3B6}" name="2" dataDxfId="249">
      <calculatedColumnFormula>LARGE((Table6234[[#This Row],[K1]:[Z4]]),2)</calculatedColumnFormula>
    </tableColumn>
    <tableColumn id="27" xr3:uid="{68968771-BFE7-485F-A593-2154745EA69C}" name="3" dataDxfId="248">
      <calculatedColumnFormula>LARGE((Table6234[[#This Row],[K1]:[Z4]]),3)</calculatedColumnFormula>
    </tableColumn>
    <tableColumn id="28" xr3:uid="{9FB6CD45-6037-4585-A2A9-2388A0DC5E7A}" name="4" dataDxfId="247">
      <calculatedColumnFormula>LARGE((Table6234[[#This Row],[K1]:[Z4]]),4)</calculatedColumnFormula>
    </tableColumn>
    <tableColumn id="29" xr3:uid="{4B504A43-2917-43DB-986D-C85523EA65F1}" name="5" dataDxfId="246">
      <calculatedColumnFormula>LARGE((Table6234[[#This Row],[K1]:[Z4]]),5)</calculatedColumnFormula>
    </tableColumn>
    <tableColumn id="30" xr3:uid="{DB7E29E8-9B8A-44AF-B894-776ABE7BB73D}" name="6" dataDxfId="245">
      <calculatedColumnFormula>LARGE((Table6234[[#This Row],[K1]:[Z4]]),6)</calculatedColumnFormula>
    </tableColumn>
    <tableColumn id="31" xr3:uid="{B6867014-B422-41BC-AA8C-5EB8CA389BEF}" name="7" dataDxfId="244">
      <calculatedColumnFormula>LARGE((Table6234[[#This Row],[K1]:[Z4]]),7)</calculatedColumnFormula>
    </tableColumn>
    <tableColumn id="32" xr3:uid="{E80A0BA4-3ABA-49D1-9E5B-E09A61D36AF5}" name="8" dataDxfId="243">
      <calculatedColumnFormula>LARGE((Table6234[[#This Row],[K1]:[Z4]]),8)</calculatedColumnFormula>
    </tableColumn>
    <tableColumn id="33" xr3:uid="{639E830D-4695-4AA4-8836-AD684395A40E}" name="9" dataDxfId="242">
      <calculatedColumnFormula>LARGE((Table6234[[#This Row],[K1]:[Z4]]),9)</calculatedColumnFormula>
    </tableColumn>
    <tableColumn id="34" xr3:uid="{69BF7CA7-7691-4023-9C2E-9A2F33F03DED}" name="10" dataDxfId="241">
      <calculatedColumnFormula>LARGE((Table6234[[#This Row],[K1]:[Z4]]),10)</calculatedColumnFormula>
    </tableColumn>
    <tableColumn id="35" xr3:uid="{5388D671-C1E1-4F93-855F-A4437A4BE8D7}" name="National" dataDxfId="240">
      <calculatedColumnFormula>SUM(Y4:AH4)</calculatedColumnFormula>
    </tableColumn>
    <tableColumn id="36" xr3:uid="{1B6C7F9E-2E6E-4FF1-BA8E-E259374C3D5D}" name="TOTAL" dataDxfId="239">
      <calculatedColumnFormula>K4+AI4</calculatedColumnFormula>
    </tableColumn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D7BE426-5A5A-4441-9F26-747282C20A43}" name="Table623" displayName="Table623" ref="A3:AJ43" totalsRowShown="0" headerRowDxfId="238" headerRowBorderDxfId="237" tableBorderDxfId="236">
  <autoFilter ref="A3:AJ43" xr:uid="{DD7BE426-5A5A-4441-9F26-747282C20A43}"/>
  <sortState xmlns:xlrd2="http://schemas.microsoft.com/office/spreadsheetml/2017/richdata2" ref="A4:AJ43">
    <sortCondition descending="1" ref="AJ4:AJ43"/>
  </sortState>
  <tableColumns count="36">
    <tableColumn id="1" xr3:uid="{92BFB52A-65F0-4DA1-92BE-808CD48FA8D1}" name="Rnk" dataDxfId="235"/>
    <tableColumn id="2" xr3:uid="{6F1697AB-505F-4533-A14B-2FC8E15819FF}" name="No." dataDxfId="234"/>
    <tableColumn id="3" xr3:uid="{1E47CFFC-4ECD-4D54-B7B9-3F9687A9C0FB}" name="Name" dataDxfId="233">
      <calculatedColumnFormula>_xlfn.XLOOKUP(Table623[[#This Row],[No.]],Sheet2!B:B,Sheet2!C:C)</calculatedColumnFormula>
    </tableColumn>
    <tableColumn id="4" xr3:uid="{D6E48E40-E894-41BA-BC9B-E74127881771}" name="License #" dataDxfId="232">
      <calculatedColumnFormula>_xlfn.XLOOKUP(B4,Sheet2!B:B,Sheet2!G:G)</calculatedColumnFormula>
    </tableColumn>
    <tableColumn id="5" xr3:uid="{78A72492-6958-49F8-ABB2-CB114D254A59}" name="Region" dataDxfId="231">
      <calculatedColumnFormula>_xlfn.XLOOKUP(B4,Sheet2!B:B,Sheet2!H:H)</calculatedColumnFormula>
    </tableColumn>
    <tableColumn id="6" xr3:uid="{95DDECB5-09E9-49B1-A956-2413DCCFBA32}" name="Chassis" dataDxfId="230">
      <calculatedColumnFormula>_xlfn.XLOOKUP(B4,Sheet2!B:B,Sheet2!D:D)</calculatedColumnFormula>
    </tableColumn>
    <tableColumn id="7" xr3:uid="{7631584E-9255-4E76-9893-AD3F59A9D81E}" name="SARMC 1" dataDxfId="229"/>
    <tableColumn id="8" xr3:uid="{817B2D79-8463-40D1-893F-6B94245D3655}" name="SARMC 2" dataDxfId="228"/>
    <tableColumn id="9" xr3:uid="{F08F03D9-B2A0-4DA2-B2C4-CBC8A9D9DCE0}" name="SARMC 3" dataDxfId="227"/>
    <tableColumn id="10" xr3:uid="{89291C02-A16D-4C64-B307-711D442ECDD8}" name="SARMC 4" dataDxfId="226"/>
    <tableColumn id="11" xr3:uid="{6F4ED043-87D8-4E7A-9459-E1225F70C286}" name="Total Bonus" dataDxfId="225">
      <calculatedColumnFormula>SUM(Table623[[#This Row],[SARMC 1]:[SARMC 4]])</calculatedColumnFormula>
    </tableColumn>
    <tableColumn id="12" xr3:uid="{3D6D568E-2AE3-4ABF-9C1E-9235CB694305}" name="K1" dataDxfId="224"/>
    <tableColumn id="13" xr3:uid="{587810D2-487F-4E16-AD81-F2297AA4B985}" name="K2" dataDxfId="223"/>
    <tableColumn id="14" xr3:uid="{9877FBD5-3BD0-43C8-9C77-CAD99E47B56B}" name="K3" dataDxfId="222"/>
    <tableColumn id="15" xr3:uid="{4AE9272A-02D1-4C5E-B878-C2A81C5547A9}" name="FK1" dataDxfId="221"/>
    <tableColumn id="16" xr3:uid="{218CE878-6FEB-4DB2-A0A3-0944EDD8B1CA}" name="FK2" dataDxfId="220"/>
    <tableColumn id="17" xr3:uid="{1E659A7B-71AE-437F-B55D-8409AE73206D}" name="FK3" dataDxfId="219"/>
    <tableColumn id="18" xr3:uid="{6D1E0E66-74B0-4B64-8075-294557E4AE5C}" name="Z1" dataDxfId="218"/>
    <tableColumn id="19" xr3:uid="{190B9A13-8B56-45E7-9AC5-0CCCA02C883B}" name="Z2" dataDxfId="217"/>
    <tableColumn id="20" xr3:uid="{7F6BA40E-AED7-4A8E-9946-132B677A79C9}" name="Z3" dataDxfId="216"/>
    <tableColumn id="21" xr3:uid="{B64F7179-D552-4A67-9A50-6B24D250BD7A}" name="Z1'" dataDxfId="215"/>
    <tableColumn id="22" xr3:uid="{C4B0DCAB-FB48-4180-8C69-E4375A69ADB1}" name="Z2'" dataDxfId="214"/>
    <tableColumn id="23" xr3:uid="{8B0277EE-BA86-43DA-84C4-DF533DD7AE5B}" name="Z3'" dataDxfId="213"/>
    <tableColumn id="24" xr3:uid="{EA862E42-344C-462C-A6DE-91FC1BF4E740}" name="Z4" dataDxfId="212"/>
    <tableColumn id="25" xr3:uid="{6DB023F7-8E18-40EE-A53A-68BDCBEB4B2B}" name="1" dataDxfId="211">
      <calculatedColumnFormula>LARGE((Table623[[#This Row],[K1]:[Z4]]),1)</calculatedColumnFormula>
    </tableColumn>
    <tableColumn id="26" xr3:uid="{139723B8-EA3D-4AE3-B73F-ECDFFD3BF17C}" name="2" dataDxfId="210">
      <calculatedColumnFormula>LARGE((Table623[[#This Row],[K1]:[Z4]]),2)</calculatedColumnFormula>
    </tableColumn>
    <tableColumn id="27" xr3:uid="{BE1640CE-95B0-4301-A634-C79992BDE491}" name="3" dataDxfId="209">
      <calculatedColumnFormula>LARGE((Table623[[#This Row],[K1]:[Z4]]),3)</calculatedColumnFormula>
    </tableColumn>
    <tableColumn id="28" xr3:uid="{03A14E8E-6F78-47C2-A1CD-3F5670C3B821}" name="4" dataDxfId="208">
      <calculatedColumnFormula>LARGE((Table623[[#This Row],[K1]:[Z4]]),4)</calculatedColumnFormula>
    </tableColumn>
    <tableColumn id="29" xr3:uid="{B67345B3-F594-4C44-9ECC-3BE55D99740C}" name="5" dataDxfId="207">
      <calculatedColumnFormula>LARGE((Table623[[#This Row],[K1]:[Z4]]),5)</calculatedColumnFormula>
    </tableColumn>
    <tableColumn id="30" xr3:uid="{6E297234-D739-4052-B0B8-840DA7A2F610}" name="6" dataDxfId="206">
      <calculatedColumnFormula>LARGE((Table623[[#This Row],[K1]:[Z4]]),6)</calculatedColumnFormula>
    </tableColumn>
    <tableColumn id="31" xr3:uid="{B9C849C6-8378-458A-82A8-3F3948CBB679}" name="7" dataDxfId="205">
      <calculatedColumnFormula>LARGE((Table623[[#This Row],[K1]:[Z4]]),7)</calculatedColumnFormula>
    </tableColumn>
    <tableColumn id="32" xr3:uid="{C27B23E5-6867-4453-837D-1284BBBCEE70}" name="8" dataDxfId="204">
      <calculatedColumnFormula>LARGE((Table623[[#This Row],[K1]:[Z4]]),8)</calculatedColumnFormula>
    </tableColumn>
    <tableColumn id="33" xr3:uid="{7B8EF7F1-01D6-412C-87D7-1949CB38DA6F}" name="9" dataDxfId="203">
      <calculatedColumnFormula>LARGE((Table623[[#This Row],[K1]:[Z4]]),9)</calculatedColumnFormula>
    </tableColumn>
    <tableColumn id="34" xr3:uid="{916C1992-69BD-4960-BAFF-92343B547C15}" name="10" dataDxfId="202">
      <calculatedColumnFormula>LARGE((Table623[[#This Row],[K1]:[Z4]]),10)</calculatedColumnFormula>
    </tableColumn>
    <tableColumn id="35" xr3:uid="{33944BD3-66F9-4B7E-9267-A896CBA09FB6}" name="National" dataDxfId="201">
      <calculatedColumnFormula>SUM(Y4:AH4)</calculatedColumnFormula>
    </tableColumn>
    <tableColumn id="36" xr3:uid="{34ED1E6C-555E-4B15-A897-E161E98E27B0}" name="TOTAL" dataDxfId="200">
      <calculatedColumnFormula>K4+AI4</calculatedColumnFormula>
    </tableColumn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08996B-5EC5-4A83-8209-DD1E5C752FAB}" name="Table62" displayName="Table62" ref="A3:AJ51" totalsRowShown="0" headerRowDxfId="199" headerRowBorderDxfId="198" tableBorderDxfId="197">
  <autoFilter ref="A3:AJ51" xr:uid="{BE08996B-5EC5-4A83-8209-DD1E5C752FAB}"/>
  <sortState xmlns:xlrd2="http://schemas.microsoft.com/office/spreadsheetml/2017/richdata2" ref="A4:AJ51">
    <sortCondition descending="1" ref="AJ4:AJ51"/>
  </sortState>
  <tableColumns count="36">
    <tableColumn id="1" xr3:uid="{08CB391A-ED3C-4563-8B0E-9469E6EE0BD2}" name="Rnk" dataDxfId="196"/>
    <tableColumn id="2" xr3:uid="{4A9A2B87-B60C-4301-84CE-77ECA12BA525}" name="No." dataDxfId="195"/>
    <tableColumn id="3" xr3:uid="{A54843EE-4082-4A91-AFF3-4FA049F1C096}" name="Name" dataDxfId="194">
      <calculatedColumnFormula>_xlfn.XLOOKUP(B4,Sheet2!B:B,Sheet2!C:C)</calculatedColumnFormula>
    </tableColumn>
    <tableColumn id="4" xr3:uid="{FAEE8B65-4F2B-409C-9D7B-939BD59B52D4}" name="License #" dataDxfId="193">
      <calculatedColumnFormula>_xlfn.XLOOKUP(B4,Sheet2!B:B,Sheet2!G:G)</calculatedColumnFormula>
    </tableColumn>
    <tableColumn id="5" xr3:uid="{2CECAEAE-84A7-46AD-A780-971D9C6489E5}" name="Region" dataDxfId="192">
      <calculatedColumnFormula>_xlfn.XLOOKUP(B4,Sheet2!B:B,Sheet2!H:H)</calculatedColumnFormula>
    </tableColumn>
    <tableColumn id="6" xr3:uid="{49BB407D-C473-4154-B596-0C912DEDC0BC}" name="Chassis" dataDxfId="191">
      <calculatedColumnFormula>_xlfn.XLOOKUP(B4,Sheet2!B:B,Sheet2!D:D)</calculatedColumnFormula>
    </tableColumn>
    <tableColumn id="7" xr3:uid="{1943C1B8-EF76-4FF3-B646-6CF01422374D}" name="SARMC 1" dataDxfId="190"/>
    <tableColumn id="8" xr3:uid="{58281D6A-3BB1-49F6-BECD-B519D367F154}" name="SARMC 2" dataDxfId="189"/>
    <tableColumn id="9" xr3:uid="{C7DE8DDC-3E41-4412-BD65-72C2C36A7C10}" name="SARMC 3" dataDxfId="188"/>
    <tableColumn id="10" xr3:uid="{DD69357F-9D0D-4D05-B4F9-53E64B72E2CC}" name="SARMC 4" dataDxfId="187"/>
    <tableColumn id="11" xr3:uid="{3617FC37-7535-4D5D-8DC0-9F996A1BAFB9}" name="Total Bonus" dataDxfId="186">
      <calculatedColumnFormula>SUM(Table62[[#This Row],[SARMC 1]:[SARMC 4]])</calculatedColumnFormula>
    </tableColumn>
    <tableColumn id="12" xr3:uid="{C264FF2C-4965-4B54-9F14-67DDEA028390}" name="K1" dataDxfId="185"/>
    <tableColumn id="13" xr3:uid="{E9B346C3-091D-4D1D-B01D-546216CB4817}" name="K2" dataDxfId="184"/>
    <tableColumn id="14" xr3:uid="{5A3DDBC8-D125-47A9-9609-2261A727A5D7}" name="K3" dataDxfId="183"/>
    <tableColumn id="15" xr3:uid="{1479D4CE-8248-4FDD-B47A-97D3F981A12F}" name="FK1" dataDxfId="182"/>
    <tableColumn id="16" xr3:uid="{BC785891-7EA1-4CA7-A4A5-D8F31D0520F4}" name="FK2" dataDxfId="181"/>
    <tableColumn id="17" xr3:uid="{EAB4F72C-A51A-48EE-B0D3-8E2E9F48C167}" name="FK3" dataDxfId="180"/>
    <tableColumn id="18" xr3:uid="{00FA4866-D48A-4FBA-96C5-948F008A2011}" name="Z1" dataDxfId="179"/>
    <tableColumn id="19" xr3:uid="{C6659833-2CDD-4FF1-ADAF-4981D0EC77A4}" name="Z2" dataDxfId="178"/>
    <tableColumn id="20" xr3:uid="{559B55F5-C4AF-4D01-B334-DB51C385DF45}" name="Z3" dataDxfId="177"/>
    <tableColumn id="21" xr3:uid="{30024B64-F4CA-4306-8640-6DA386E85122}" name="Z1'" dataDxfId="176"/>
    <tableColumn id="22" xr3:uid="{D844E02E-A3F8-49D9-B5D7-9F14E302EB4A}" name="Z2'" dataDxfId="175"/>
    <tableColumn id="23" xr3:uid="{E71854A9-1164-4F1F-809B-B421A122B896}" name="Z3'" dataDxfId="174"/>
    <tableColumn id="24" xr3:uid="{049798BB-BFBC-4747-ABC3-6A495D03C1FF}" name="Z4" dataDxfId="173"/>
    <tableColumn id="25" xr3:uid="{F201A87C-BF1A-499F-8B6A-661D3F4C633E}" name="1" dataDxfId="172">
      <calculatedColumnFormula>LARGE((Table62[[#This Row],[K1]:[Z4]]),1)</calculatedColumnFormula>
    </tableColumn>
    <tableColumn id="26" xr3:uid="{8B52845C-96AB-4EE6-A2F8-65B99BE82B70}" name="2" dataDxfId="171">
      <calculatedColumnFormula>LARGE((Table62[[#This Row],[K1]:[Z4]]),2)</calculatedColumnFormula>
    </tableColumn>
    <tableColumn id="27" xr3:uid="{779B02AE-2058-4161-94B9-9ADF7CF94B3A}" name="3" dataDxfId="170">
      <calculatedColumnFormula>LARGE((Table62[[#This Row],[K1]:[Z4]]),3)</calculatedColumnFormula>
    </tableColumn>
    <tableColumn id="28" xr3:uid="{993C4594-7E7A-413B-84CA-2F04C9A2D9A7}" name="4" dataDxfId="169">
      <calculatedColumnFormula>LARGE((Table62[[#This Row],[K1]:[Z4]]),4)</calculatedColumnFormula>
    </tableColumn>
    <tableColumn id="29" xr3:uid="{9531119F-66CD-4AAF-87D0-83C82AFC1B56}" name="5" dataDxfId="168">
      <calculatedColumnFormula>LARGE((Table62[[#This Row],[K1]:[Z4]]),5)</calculatedColumnFormula>
    </tableColumn>
    <tableColumn id="30" xr3:uid="{6E55464A-5E59-429F-A27F-E828EBCB4B3D}" name="6" dataDxfId="167">
      <calculatedColumnFormula>LARGE((Table62[[#This Row],[K1]:[Z4]]),6)</calculatedColumnFormula>
    </tableColumn>
    <tableColumn id="31" xr3:uid="{645E9201-5BBD-4D85-86AC-97CDA83319E7}" name="7" dataDxfId="166">
      <calculatedColumnFormula>LARGE((Table62[[#This Row],[K1]:[Z4]]),7)</calculatedColumnFormula>
    </tableColumn>
    <tableColumn id="32" xr3:uid="{805E5F9B-874C-4426-BC4B-EBDB0E9B9743}" name="8" dataDxfId="165">
      <calculatedColumnFormula>LARGE((Table62[[#This Row],[K1]:[Z4]]),8)</calculatedColumnFormula>
    </tableColumn>
    <tableColumn id="33" xr3:uid="{F66A6A77-27EC-48F6-83BB-501745035FEF}" name="9" dataDxfId="164">
      <calculatedColumnFormula>LARGE((Table62[[#This Row],[K1]:[Z4]]),9)</calculatedColumnFormula>
    </tableColumn>
    <tableColumn id="34" xr3:uid="{562B1842-566D-4E6C-81A6-7A32D9F165E8}" name="10" dataDxfId="163">
      <calculatedColumnFormula>LARGE((Table62[[#This Row],[K1]:[Z4]]),10)</calculatedColumnFormula>
    </tableColumn>
    <tableColumn id="35" xr3:uid="{0B0CD3C1-5313-4BBA-B7AA-9AEACCF1249D}" name="National" dataDxfId="162">
      <calculatedColumnFormula>SUM(Y4:AH4)</calculatedColumnFormula>
    </tableColumn>
    <tableColumn id="36" xr3:uid="{6BDFCA73-2223-463C-B4B8-11679253E5C8}" name="TOTAL" dataDxfId="161">
      <calculatedColumnFormula>K4+AI4</calculatedColumnFormula>
    </tableColumn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7AD2AB4-F95B-4A6A-8806-1B324EA51AA6}" name="Table6" displayName="Table6" ref="A3:AJ50" totalsRowShown="0" headerRowDxfId="316" headerRowBorderDxfId="315" tableBorderDxfId="314">
  <autoFilter ref="A3:AJ50" xr:uid="{37AD2AB4-F95B-4A6A-8806-1B324EA51AA6}"/>
  <sortState xmlns:xlrd2="http://schemas.microsoft.com/office/spreadsheetml/2017/richdata2" ref="A4:AJ50">
    <sortCondition descending="1" ref="AJ4:AJ50"/>
  </sortState>
  <tableColumns count="36">
    <tableColumn id="1" xr3:uid="{0072B3CD-46C3-47D3-AC54-84657D18435D}" name="Rnk" dataDxfId="313"/>
    <tableColumn id="2" xr3:uid="{779292ED-EF80-453B-883B-A5360F6EFD6D}" name="No." dataDxfId="312"/>
    <tableColumn id="3" xr3:uid="{6C379EFC-AC2B-486D-8FB2-C8F35C9587E9}" name="Name" dataDxfId="311">
      <calculatedColumnFormula>_xlfn.XLOOKUP(B4,Sheet2!B:B,Sheet2!C:C)</calculatedColumnFormula>
    </tableColumn>
    <tableColumn id="4" xr3:uid="{AD33F2BD-9807-47B7-8503-44880052C3DD}" name="License #" dataDxfId="310">
      <calculatedColumnFormula>_xlfn.XLOOKUP(B4,Sheet2!B:B,Sheet2!G:G)</calculatedColumnFormula>
    </tableColumn>
    <tableColumn id="5" xr3:uid="{F62DE3A8-C89B-4768-ACDD-F156769ED0F6}" name="Region" dataDxfId="309">
      <calculatedColumnFormula>_xlfn.XLOOKUP(B4,Sheet2!B:B,Sheet2!H:H)</calculatedColumnFormula>
    </tableColumn>
    <tableColumn id="6" xr3:uid="{11843794-791C-4EF7-BAAC-14910D1D8122}" name="Chassis" dataDxfId="308">
      <calculatedColumnFormula>_xlfn.XLOOKUP(B4,Sheet2!B:B,Sheet2!D:D)</calculatedColumnFormula>
    </tableColumn>
    <tableColumn id="7" xr3:uid="{9F38E68D-9DF9-4D02-BC32-519BBB9DF7B6}" name="SARMC 1" dataDxfId="307"/>
    <tableColumn id="8" xr3:uid="{40B67337-B3E3-4477-B136-076B90D13A34}" name="SARMC 2" dataDxfId="306"/>
    <tableColumn id="9" xr3:uid="{F82FB1E2-DCF5-4287-B896-C7178366EFDA}" name="SARMC 3" dataDxfId="305"/>
    <tableColumn id="10" xr3:uid="{A98125B6-ABA4-4BCE-B8DE-8CF808BAD85F}" name="SARMC 4" dataDxfId="304"/>
    <tableColumn id="11" xr3:uid="{DEFE924A-8FF4-4F8A-9898-E7FFC27D1259}" name="Total Bonus" dataDxfId="303">
      <calculatedColumnFormula>SUM(Table6[[#This Row],[SARMC 1]:[SARMC 4]])</calculatedColumnFormula>
    </tableColumn>
    <tableColumn id="12" xr3:uid="{823DDB68-86C1-4E8A-929D-50976AE7CE1B}" name="K1" dataDxfId="302"/>
    <tableColumn id="13" xr3:uid="{9BEA1E06-D7C7-4CE6-B4F8-694D69753EC0}" name="K2" dataDxfId="301"/>
    <tableColumn id="14" xr3:uid="{42F7068E-E75B-4FFF-AC2E-4F7DACB0DB61}" name="K3" dataDxfId="300"/>
    <tableColumn id="15" xr3:uid="{8F591A48-5C57-4677-8D5C-9DDB508CFF3B}" name="FK1" dataDxfId="299"/>
    <tableColumn id="16" xr3:uid="{86DFAB78-FE94-4178-BE51-34E3D1B75B2B}" name="FK2" dataDxfId="298"/>
    <tableColumn id="17" xr3:uid="{5E360556-0BDD-4C84-9DAA-16673FBFCB73}" name="FK3" dataDxfId="297"/>
    <tableColumn id="18" xr3:uid="{DABC5141-D178-4E0C-8746-43B35632846B}" name="Z1" dataDxfId="296"/>
    <tableColumn id="19" xr3:uid="{E761D179-B2FC-4703-AB18-809164FA7A0D}" name="Z2" dataDxfId="295"/>
    <tableColumn id="20" xr3:uid="{D524E383-7B9A-439D-B08D-18E4FBC0293C}" name="Z3" dataDxfId="294"/>
    <tableColumn id="21" xr3:uid="{215C0BFF-7F39-473B-BC1B-5D46C0A60B80}" name="Z1'" dataDxfId="293"/>
    <tableColumn id="22" xr3:uid="{3D6F125C-1258-41C4-9F88-77BA416F2784}" name="Z2'" dataDxfId="292"/>
    <tableColumn id="23" xr3:uid="{66FB3DF3-4489-4938-99F3-AD3ABA7D7449}" name="Z3'" dataDxfId="291"/>
    <tableColumn id="24" xr3:uid="{8CCFE48E-7BB2-4024-97DA-55754E771C77}" name="Z4" dataDxfId="290"/>
    <tableColumn id="25" xr3:uid="{934855E3-066F-4761-BD84-9D65FCE6FCA9}" name="1" dataDxfId="289">
      <calculatedColumnFormula>LARGE((Table6[[#This Row],[K1]:[Z4]]),1)</calculatedColumnFormula>
    </tableColumn>
    <tableColumn id="26" xr3:uid="{7C6FCD5F-ABE1-4CCC-915F-1C70AAD05ACD}" name="2" dataDxfId="288">
      <calculatedColumnFormula>LARGE((Table6[[#This Row],[K1]:[Z4]]),2)</calculatedColumnFormula>
    </tableColumn>
    <tableColumn id="27" xr3:uid="{C19EE777-A518-40F9-9DF6-5F5F7E5C67EB}" name="3" dataDxfId="287">
      <calculatedColumnFormula>LARGE((Table6[[#This Row],[K1]:[Z4]]),3)</calculatedColumnFormula>
    </tableColumn>
    <tableColumn id="28" xr3:uid="{61E74C3E-60D2-4D4F-ABDB-D1CC05BAFBDF}" name="4" dataDxfId="286">
      <calculatedColumnFormula>LARGE((Table6[[#This Row],[K1]:[Z4]]),4)</calculatedColumnFormula>
    </tableColumn>
    <tableColumn id="29" xr3:uid="{2362740E-CE36-4D59-9D28-F9C319A83B5F}" name="5" dataDxfId="285">
      <calculatedColumnFormula>LARGE((Table6[[#This Row],[K1]:[Z4]]),5)</calculatedColumnFormula>
    </tableColumn>
    <tableColumn id="30" xr3:uid="{791C4FC4-D557-4E2F-9E26-9C3A2279D8B0}" name="6" dataDxfId="284">
      <calculatedColumnFormula>LARGE((Table6[[#This Row],[K1]:[Z4]]),6)</calculatedColumnFormula>
    </tableColumn>
    <tableColumn id="31" xr3:uid="{D5B2B513-8FEB-4EB5-B02E-C6D1A4028DB1}" name="7" dataDxfId="283">
      <calculatedColumnFormula>LARGE((Table6[[#This Row],[K1]:[Z4]]),7)</calculatedColumnFormula>
    </tableColumn>
    <tableColumn id="32" xr3:uid="{018916DB-E23A-456E-BE6A-66D82148D9D4}" name="8" dataDxfId="282">
      <calculatedColumnFormula>LARGE((Table6[[#This Row],[K1]:[Z4]]),8)</calculatedColumnFormula>
    </tableColumn>
    <tableColumn id="33" xr3:uid="{6DD186D5-0371-44DE-A9CB-BC71B2AD5B26}" name="9" dataDxfId="281">
      <calculatedColumnFormula>LARGE((Table6[[#This Row],[K1]:[Z4]]),9)</calculatedColumnFormula>
    </tableColumn>
    <tableColumn id="34" xr3:uid="{172D2871-3715-498D-9D0A-66BD827B049F}" name="10" dataDxfId="280">
      <calculatedColumnFormula>LARGE((Table6[[#This Row],[K1]:[Z4]]),10)</calculatedColumnFormula>
    </tableColumn>
    <tableColumn id="35" xr3:uid="{4F589762-C407-42AA-9DD3-9497DF7C8A6B}" name="National" dataDxfId="279">
      <calculatedColumnFormula>SUM(Y4:AH4)</calculatedColumnFormula>
    </tableColumn>
    <tableColumn id="36" xr3:uid="{F4529146-4CF1-4BB4-9E43-AFA5957A84D3}" name="TOTAL" dataDxfId="278">
      <calculatedColumnFormula>K4+AI4</calculatedColumnFormula>
    </tableColumn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34B19D5-0CEB-47F8-9D02-702C0C10E987}" name="Table62345" displayName="Table62345" ref="A3:AJ58" totalsRowShown="0" headerRowDxfId="160" headerRowBorderDxfId="159" tableBorderDxfId="158">
  <autoFilter ref="A3:AJ58" xr:uid="{D34B19D5-0CEB-47F8-9D02-702C0C10E987}"/>
  <sortState xmlns:xlrd2="http://schemas.microsoft.com/office/spreadsheetml/2017/richdata2" ref="A4:AJ58">
    <sortCondition descending="1" ref="AJ4:AJ58"/>
  </sortState>
  <tableColumns count="36">
    <tableColumn id="1" xr3:uid="{592AEA6C-07AB-4D94-91C8-BB25BDE68843}" name="Rnk" dataDxfId="157"/>
    <tableColumn id="2" xr3:uid="{E99733FF-4F59-4CE4-A221-1EC095C8233F}" name="No." dataDxfId="156"/>
    <tableColumn id="3" xr3:uid="{3D73071E-BE50-4905-9F53-B1F0BA1CDCB9}" name="Name" dataDxfId="155">
      <calculatedColumnFormula>_xlfn.XLOOKUP(B4,Sheet2!B:B,Sheet2!C:C)</calculatedColumnFormula>
    </tableColumn>
    <tableColumn id="4" xr3:uid="{91F9A297-98B1-4361-ACBC-39A9EDAC9321}" name="License #" dataDxfId="154">
      <calculatedColumnFormula>_xlfn.XLOOKUP(B4,Sheet2!B:B,Sheet2!G:G)</calculatedColumnFormula>
    </tableColumn>
    <tableColumn id="5" xr3:uid="{62E5C145-B3B6-4D72-ADE7-C72DF6B486F7}" name="Region" dataDxfId="153">
      <calculatedColumnFormula>_xlfn.XLOOKUP(B4,Sheet2!B:B,Sheet2!H:H)</calculatedColumnFormula>
    </tableColumn>
    <tableColumn id="6" xr3:uid="{0721B9B5-88AD-49C5-BF4D-F1ACC6D07D25}" name="Chassis" dataDxfId="152">
      <calculatedColumnFormula>_xlfn.XLOOKUP(B4,Sheet2!B:B,Sheet2!D:D)</calculatedColumnFormula>
    </tableColumn>
    <tableColumn id="7" xr3:uid="{EB8BE194-36A8-4607-9A2E-097774BEB62D}" name="SARMC 1" dataDxfId="29"/>
    <tableColumn id="8" xr3:uid="{7AF75A08-48FB-4CFD-9C02-901A72B92738}" name="SARMC 2" dataDxfId="28"/>
    <tableColumn id="9" xr3:uid="{9B0DF592-6920-4D7E-AA68-B404B60C9F3C}" name="SARMC 3" dataDxfId="27"/>
    <tableColumn id="10" xr3:uid="{E2572CC3-9ACD-4746-AACC-82C246D943DA}" name="SARMC 4" dataDxfId="26"/>
    <tableColumn id="11" xr3:uid="{55CD0BD4-7B0A-4853-A139-6143F78AEFFF}" name="Total Bonus" dataDxfId="25">
      <calculatedColumnFormula>SUM(Table62345[[#This Row],[SARMC 1]:[SARMC 4]])</calculatedColumnFormula>
    </tableColumn>
    <tableColumn id="12" xr3:uid="{94ACA28C-DE1E-485D-B971-DC11ABA9B5BA}" name="K1" dataDxfId="24"/>
    <tableColumn id="13" xr3:uid="{F3D40C6E-8EDF-4A80-B4AD-148C947FF511}" name="K2" dataDxfId="23"/>
    <tableColumn id="14" xr3:uid="{5BCB6D65-C1B4-49B7-B9CE-C02235175F09}" name="K3" dataDxfId="22"/>
    <tableColumn id="15" xr3:uid="{1B40312D-D33E-48D6-8ABB-24986B9722C0}" name="FK1" dataDxfId="21"/>
    <tableColumn id="16" xr3:uid="{4FEE814F-31E0-4C1F-9E96-97F375822498}" name="FK2" dataDxfId="20"/>
    <tableColumn id="17" xr3:uid="{A8BD4493-F145-4C95-A675-2B12F9B3A27A}" name="FK3" dataDxfId="19"/>
    <tableColumn id="18" xr3:uid="{DA62A30B-850F-48BB-93BA-AC813674A003}" name="Z1" dataDxfId="18"/>
    <tableColumn id="19" xr3:uid="{9B809F69-8F74-44A4-93EE-A049A9FB8C0B}" name="Z2" dataDxfId="17"/>
    <tableColumn id="20" xr3:uid="{A20C5CB0-9421-42B6-887F-68C06443162F}" name="Z3" dataDxfId="16"/>
    <tableColumn id="21" xr3:uid="{5BDF693D-A4B0-4DE2-93E3-A710D12ED16C}" name="Z1'" dataDxfId="15"/>
    <tableColumn id="22" xr3:uid="{831D991B-BD40-454C-A317-DD1124A953C6}" name="Z2'" dataDxfId="14"/>
    <tableColumn id="23" xr3:uid="{064E0B73-C450-49CE-8EE7-09B41A497096}" name="Z3'" dataDxfId="13"/>
    <tableColumn id="24" xr3:uid="{B465D06C-F7F4-4A04-A203-D066E5C4E51F}" name="Z4" dataDxfId="12"/>
    <tableColumn id="25" xr3:uid="{5CF880D7-D5B1-4516-8152-17457047EEA4}" name="1" dataDxfId="11">
      <calculatedColumnFormula>LARGE((Table62345[[#This Row],[K1]:[Z4]]),1)</calculatedColumnFormula>
    </tableColumn>
    <tableColumn id="26" xr3:uid="{C4265201-1915-412A-BA28-6975266A3497}" name="2" dataDxfId="10">
      <calculatedColumnFormula>LARGE((Table62345[[#This Row],[K1]:[Z4]]),2)</calculatedColumnFormula>
    </tableColumn>
    <tableColumn id="27" xr3:uid="{A8430905-3031-4D2F-9472-166EB4F343B7}" name="3" dataDxfId="9">
      <calculatedColumnFormula>LARGE((Table62345[[#This Row],[K1]:[Z4]]),3)</calculatedColumnFormula>
    </tableColumn>
    <tableColumn id="28" xr3:uid="{83E56F52-8442-4389-8788-B120994C8637}" name="4" dataDxfId="8">
      <calculatedColumnFormula>LARGE((Table62345[[#This Row],[K1]:[Z4]]),4)</calculatedColumnFormula>
    </tableColumn>
    <tableColumn id="29" xr3:uid="{2EED71DC-DB01-49D2-9ADB-EE0373892C78}" name="5" dataDxfId="7">
      <calculatedColumnFormula>LARGE((Table62345[[#This Row],[K1]:[Z4]]),5)</calculatedColumnFormula>
    </tableColumn>
    <tableColumn id="30" xr3:uid="{75F0EB20-892D-43FF-BD94-A0E61CDD2CF9}" name="6" dataDxfId="6">
      <calculatedColumnFormula>LARGE((Table62345[[#This Row],[K1]:[Z4]]),6)</calculatedColumnFormula>
    </tableColumn>
    <tableColumn id="31" xr3:uid="{46899753-17DE-4377-AC8F-2E5ACD216A16}" name="7" dataDxfId="5">
      <calculatedColumnFormula>LARGE((Table62345[[#This Row],[K1]:[Z4]]),7)</calculatedColumnFormula>
    </tableColumn>
    <tableColumn id="32" xr3:uid="{507180D1-92D6-4C0A-A75B-47A0F02FD8BE}" name="8" dataDxfId="4">
      <calculatedColumnFormula>LARGE((Table62345[[#This Row],[K1]:[Z4]]),8)</calculatedColumnFormula>
    </tableColumn>
    <tableColumn id="33" xr3:uid="{14D97B56-384A-49B3-9B06-2B0B6E914B9C}" name="9" dataDxfId="3">
      <calculatedColumnFormula>LARGE((Table62345[[#This Row],[K1]:[Z4]]),9)</calculatedColumnFormula>
    </tableColumn>
    <tableColumn id="34" xr3:uid="{D35D27EF-E634-4E01-AAAF-C1D7E64E8DAE}" name="10" dataDxfId="2">
      <calculatedColumnFormula>LARGE((Table62345[[#This Row],[K1]:[Z4]]),10)</calculatedColumnFormula>
    </tableColumn>
    <tableColumn id="35" xr3:uid="{A34B09F6-EFDE-4E1D-B8ED-22280488DE10}" name="National" dataDxfId="1">
      <calculatedColumnFormula>SUM(Y4:AH4)</calculatedColumnFormula>
    </tableColumn>
    <tableColumn id="36" xr3:uid="{4F25F62D-4009-4347-A824-96BD9D7C5D69}" name="TOTAL" dataDxfId="0">
      <calculatedColumnFormula>K4+AI4</calculatedColumnFormula>
    </tableColumn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F937A94-585F-437E-B509-37F61B03C754}" name="Table62346" displayName="Table62346" ref="A3:AJ40" totalsRowShown="0" headerRowDxfId="151" headerRowBorderDxfId="150" tableBorderDxfId="149">
  <autoFilter ref="A3:AJ40" xr:uid="{DF937A94-585F-437E-B509-37F61B03C754}"/>
  <sortState xmlns:xlrd2="http://schemas.microsoft.com/office/spreadsheetml/2017/richdata2" ref="A4:AJ40">
    <sortCondition descending="1" ref="AJ4:AJ40"/>
  </sortState>
  <tableColumns count="36">
    <tableColumn id="1" xr3:uid="{6ECEF1C8-DABC-4B58-8E80-1D7828D62E90}" name="Rnk" dataDxfId="148"/>
    <tableColumn id="2" xr3:uid="{7883AF83-F561-459C-8318-E4F1A184BF00}" name="No." dataDxfId="147"/>
    <tableColumn id="3" xr3:uid="{D8BA1115-6665-4DD1-B32E-3278ECA03ACE}" name="Name" dataDxfId="146">
      <calculatedColumnFormula>_xlfn.XLOOKUP(Table62346[[#This Row],[No.]],Sheet2!$B$33:$B$507,Sheet2!$C$33:$C$507)</calculatedColumnFormula>
    </tableColumn>
    <tableColumn id="4" xr3:uid="{52BD8000-2F4B-4612-B123-89BA197A7226}" name="License #" dataDxfId="145">
      <calculatedColumnFormula>_xlfn.XLOOKUP(Table62346[[#This Row],[No.]],Sheet2!$B$33:$B$507,Sheet2!$G$33:$G$507)</calculatedColumnFormula>
    </tableColumn>
    <tableColumn id="5" xr3:uid="{487DBD9C-0C56-480A-A100-3D1C29E8934C}" name="Region" dataDxfId="144">
      <calculatedColumnFormula>_xlfn.XLOOKUP(Table62346[[#This Row],[No.]],Sheet2!$B$33:$B$507,Sheet2!$H$33:$H$507)</calculatedColumnFormula>
    </tableColumn>
    <tableColumn id="6" xr3:uid="{0B3CDD7B-C80F-4232-A697-C1451F297F12}" name="Chassis" dataDxfId="143">
      <calculatedColumnFormula>_xlfn.XLOOKUP(Table62346[[#This Row],[No.]],Sheet2!$B$33:$B$507,Sheet2!$D$33:$D$507)</calculatedColumnFormula>
    </tableColumn>
    <tableColumn id="7" xr3:uid="{C0897D5D-EC7E-4E71-AAC3-4F801834D0F2}" name="SARMC 1" dataDxfId="142"/>
    <tableColumn id="8" xr3:uid="{202DB436-ECB1-41B0-A9E6-D2993779ABDB}" name="SARMC 2" dataDxfId="141"/>
    <tableColumn id="9" xr3:uid="{F1BADEFD-FBB6-41B5-A1A5-3983C37AFD4E}" name="SARMC 3" dataDxfId="140"/>
    <tableColumn id="10" xr3:uid="{754653F7-5BA2-442F-B1A8-B67F18D8D764}" name="SARMC 4" dataDxfId="139"/>
    <tableColumn id="11" xr3:uid="{BA343573-C33D-4AEA-91A1-6FC868ED2D45}" name="Total Bonus" dataDxfId="138">
      <calculatedColumnFormula>SUM(Table62346[[#This Row],[SARMC 1]:[SARMC 4]])</calculatedColumnFormula>
    </tableColumn>
    <tableColumn id="12" xr3:uid="{C12E6ABC-40C8-4A16-B21F-81158CE3FC05}" name="K1" dataDxfId="137"/>
    <tableColumn id="13" xr3:uid="{08369D78-7D66-4777-B87D-449A23B5449F}" name="K2" dataDxfId="136"/>
    <tableColumn id="14" xr3:uid="{8057E3BF-2031-4D86-8B6B-32C0BE037B87}" name="K3" dataDxfId="135"/>
    <tableColumn id="15" xr3:uid="{4B0A4AE9-2417-48D6-A03F-B747A3076893}" name="FK1" dataDxfId="134"/>
    <tableColumn id="16" xr3:uid="{A1B9CBA4-A7F0-46A1-AC03-D3472A5CCC3C}" name="FK2" dataDxfId="133"/>
    <tableColumn id="17" xr3:uid="{D728A0DA-8C72-465F-A842-FE7AE39A9711}" name="FK3" dataDxfId="132"/>
    <tableColumn id="18" xr3:uid="{5D960D54-F0E3-4B80-B7D5-D3DC3ED8ED09}" name="Z1" dataDxfId="131"/>
    <tableColumn id="19" xr3:uid="{E7345E35-2AB4-4A48-9D13-7A80DD1F0D8D}" name="Z2" dataDxfId="130"/>
    <tableColumn id="20" xr3:uid="{7C6BAF33-0BC2-4B4B-80E1-946E4424D94C}" name="Z3" dataDxfId="129"/>
    <tableColumn id="21" xr3:uid="{AE696B03-9E5A-42F2-AB2D-C547A5D73692}" name="Z1'" dataDxfId="128"/>
    <tableColumn id="22" xr3:uid="{17D3D71D-9C98-47DB-BB05-B0A85310875F}" name="Z2'" dataDxfId="127"/>
    <tableColumn id="23" xr3:uid="{26EB2B25-3060-4DDE-822A-5FF86F58FD22}" name="Z3'" dataDxfId="126"/>
    <tableColumn id="24" xr3:uid="{B91F9AD0-84E7-4F2B-9515-702039674349}" name="Z4" dataDxfId="125"/>
    <tableColumn id="25" xr3:uid="{E6D54ED8-5C79-42D1-A295-0D7254025310}" name="1" dataDxfId="124">
      <calculatedColumnFormula>LARGE((Table62346[[#This Row],[K1]:[Z4]]),1)</calculatedColumnFormula>
    </tableColumn>
    <tableColumn id="26" xr3:uid="{DEEF9910-4C49-4DAB-9AFD-040CE92199BB}" name="2" dataDxfId="123">
      <calculatedColumnFormula>LARGE((Table62346[[#This Row],[K1]:[Z4]]),2)</calculatedColumnFormula>
    </tableColumn>
    <tableColumn id="27" xr3:uid="{44AB6B76-DE11-4A97-9533-38442AF7C139}" name="3" dataDxfId="122">
      <calculatedColumnFormula>LARGE((Table62346[[#This Row],[K1]:[Z4]]),3)</calculatedColumnFormula>
    </tableColumn>
    <tableColumn id="28" xr3:uid="{0BD09DAC-8D9C-4DF6-99B7-9AD77460538C}" name="4" dataDxfId="121">
      <calculatedColumnFormula>LARGE((Table62346[[#This Row],[K1]:[Z4]]),4)</calculatedColumnFormula>
    </tableColumn>
    <tableColumn id="29" xr3:uid="{24D19C77-BDB0-4FDA-AB3A-79E0C611C6BC}" name="5" dataDxfId="120">
      <calculatedColumnFormula>LARGE((Table62346[[#This Row],[K1]:[Z4]]),5)</calculatedColumnFormula>
    </tableColumn>
    <tableColumn id="30" xr3:uid="{0F692FB4-37C2-49C5-98C4-2ED9AD94D9F0}" name="6" dataDxfId="119">
      <calculatedColumnFormula>LARGE((Table62346[[#This Row],[K1]:[Z4]]),6)</calculatedColumnFormula>
    </tableColumn>
    <tableColumn id="31" xr3:uid="{83D7FC06-2C16-45B2-A824-B2ED128DE762}" name="7" dataDxfId="118">
      <calculatedColumnFormula>LARGE((Table62346[[#This Row],[K1]:[Z4]]),7)</calculatedColumnFormula>
    </tableColumn>
    <tableColumn id="32" xr3:uid="{4F78D1D5-3CC5-4088-8C18-C6B02D96A394}" name="8" dataDxfId="117">
      <calculatedColumnFormula>LARGE((Table62346[[#This Row],[K1]:[Z4]]),8)</calculatedColumnFormula>
    </tableColumn>
    <tableColumn id="33" xr3:uid="{1A213D7F-EFE7-40C3-95F5-95FE0B210959}" name="9" dataDxfId="116">
      <calculatedColumnFormula>LARGE((Table62346[[#This Row],[K1]:[Z4]]),9)</calculatedColumnFormula>
    </tableColumn>
    <tableColumn id="34" xr3:uid="{FF61B9AB-D8B4-4D21-ADA6-BE81839CD4CC}" name="10" dataDxfId="115">
      <calculatedColumnFormula>LARGE((Table62346[[#This Row],[K1]:[Z4]]),10)</calculatedColumnFormula>
    </tableColumn>
    <tableColumn id="35" xr3:uid="{DCCE0030-94F6-4BB4-9C3C-BC83ED965DF1}" name="National" dataDxfId="114">
      <calculatedColumnFormula>SUM(Y4:AH4)</calculatedColumnFormula>
    </tableColumn>
    <tableColumn id="36" xr3:uid="{16821A20-5978-4AC8-AB2E-3CB27F00575E}" name="TOTAL" dataDxfId="113">
      <calculatedColumnFormula>K4+AI4</calculatedColumnFormula>
    </tableColumn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1EF52A6-4910-4535-BF20-974E52D8D58C}" name="Table62348" displayName="Table62348" ref="A3:AJ38" totalsRowShown="0" headerRowDxfId="112" headerRowBorderDxfId="111" tableBorderDxfId="110">
  <sortState xmlns:xlrd2="http://schemas.microsoft.com/office/spreadsheetml/2017/richdata2" ref="A4:AJ38">
    <sortCondition descending="1" ref="AJ4:AJ38"/>
  </sortState>
  <tableColumns count="36">
    <tableColumn id="1" xr3:uid="{D7B7E06E-8ADC-4DB3-A155-4A6882553293}" name="Rnk" dataDxfId="109"/>
    <tableColumn id="2" xr3:uid="{F76592B9-1206-4228-BF14-CBF532CD5BF6}" name="No." dataDxfId="108"/>
    <tableColumn id="3" xr3:uid="{B4DBCF25-31F4-4A66-9B17-1C22E705F958}" name="Name" dataDxfId="107">
      <calculatedColumnFormula>_xlfn.XLOOKUP(Table62348[[#This Row],[No.]],Sheet2!B:B,Sheet2!C:C)</calculatedColumnFormula>
    </tableColumn>
    <tableColumn id="4" xr3:uid="{BDC8B4E2-FE0F-421C-9602-E6076269ADB9}" name="License #" dataDxfId="106">
      <calculatedColumnFormula>_xlfn.XLOOKUP(Table62348[[#This Row],[No.]],Sheet2!B:B,Sheet2!G:G)</calculatedColumnFormula>
    </tableColumn>
    <tableColumn id="5" xr3:uid="{994F4B0F-58B2-41AE-BC7B-0BBF6C724DA9}" name="Region" dataDxfId="105">
      <calculatedColumnFormula>_xlfn.XLOOKUP(Table62348[[#This Row],[No.]],Sheet2!B:B,Sheet2!H:H)</calculatedColumnFormula>
    </tableColumn>
    <tableColumn id="6" xr3:uid="{4570D54D-E96D-46F1-B2C9-193AFB9D5C4E}" name="Chassis" dataDxfId="104">
      <calculatedColumnFormula>_xlfn.XLOOKUP(Table62348[[#This Row],[No.]],Sheet2!B:B,Sheet2!D:D)</calculatedColumnFormula>
    </tableColumn>
    <tableColumn id="7" xr3:uid="{9193E173-365F-456E-8634-186ED5E97C30}" name="SARMC 1" dataDxfId="103"/>
    <tableColumn id="8" xr3:uid="{D85E6E5F-8184-4860-AA50-2D89ECAAB8DB}" name="SARMC 2" dataDxfId="102"/>
    <tableColumn id="9" xr3:uid="{8C85B2BF-50A7-445C-8C24-9A584CC5B056}" name="SARMC 3" dataDxfId="101"/>
    <tableColumn id="10" xr3:uid="{24793F4C-94C5-469B-B1D9-895A48B9A371}" name="SARMC 4" dataDxfId="100"/>
    <tableColumn id="11" xr3:uid="{4537C56C-4CF8-4418-A063-0B63DC65D3D0}" name="Total Bonus" dataDxfId="99">
      <calculatedColumnFormula>SUM(Table62348[[#This Row],[SARMC 1]:[SARMC 4]])</calculatedColumnFormula>
    </tableColumn>
    <tableColumn id="12" xr3:uid="{D2C87F93-B0B6-417D-ABAF-BD58E3C5337E}" name="K1" dataDxfId="98"/>
    <tableColumn id="13" xr3:uid="{192E2704-C503-4C76-AA97-7FD3959C6C75}" name="K2" dataDxfId="97"/>
    <tableColumn id="14" xr3:uid="{37EE0584-EA17-4FFF-9CB7-3122D3491FB5}" name="K3" dataDxfId="96"/>
    <tableColumn id="15" xr3:uid="{E4CDA18A-B40E-43F9-ABB6-67F232B0BCDE}" name="FK1" dataDxfId="95"/>
    <tableColumn id="16" xr3:uid="{AA5F7211-F40A-4E9E-BA1A-27F69732D0AB}" name="FK2" dataDxfId="94"/>
    <tableColumn id="17" xr3:uid="{A3DC69B0-7C06-4FCA-B13D-EE88F74F7669}" name="FK3" dataDxfId="93"/>
    <tableColumn id="18" xr3:uid="{A9E964CB-E28C-4573-B4B1-F5594890D5FD}" name="Z1" dataDxfId="92"/>
    <tableColumn id="19" xr3:uid="{9FC9F3AB-F502-4BCF-BE78-F6B657EA4387}" name="Z2" dataDxfId="91"/>
    <tableColumn id="20" xr3:uid="{EFCFCAED-09C0-48FD-8C35-E12C15989D6C}" name="Z3" dataDxfId="90"/>
    <tableColumn id="21" xr3:uid="{CB3CA886-A30A-45F4-86F4-7BCE7FBB05F3}" name="Z1'" dataDxfId="89"/>
    <tableColumn id="22" xr3:uid="{30A1791B-C12B-4012-A38B-3B1C3F509EDC}" name="Z2'" dataDxfId="88"/>
    <tableColumn id="23" xr3:uid="{2EBBD5FC-E8B8-4BE3-9F47-B925B0AC04A7}" name="Z3'" dataDxfId="87"/>
    <tableColumn id="24" xr3:uid="{47387DC8-349D-47A0-8003-FAB58C9A0C8E}" name="Z4" dataDxfId="86"/>
    <tableColumn id="25" xr3:uid="{1959AA7E-AA9B-4610-BBF6-E630BBC89DB9}" name="1" dataDxfId="85">
      <calculatedColumnFormula>LARGE((Table62348[[#This Row],[K1]:[Z4]]),1)</calculatedColumnFormula>
    </tableColumn>
    <tableColumn id="26" xr3:uid="{EF44961F-889F-4C72-B724-5AC545A49074}" name="2" dataDxfId="84">
      <calculatedColumnFormula>LARGE((Table62348[[#This Row],[K1]:[Z4]]),2)</calculatedColumnFormula>
    </tableColumn>
    <tableColumn id="27" xr3:uid="{EF499ED4-24DB-429C-8802-21BC276589E7}" name="3" dataDxfId="83">
      <calculatedColumnFormula>LARGE((Table62348[[#This Row],[K1]:[Z4]]),3)</calculatedColumnFormula>
    </tableColumn>
    <tableColumn id="28" xr3:uid="{CCE03855-957D-4D7A-B195-8BC9ED62B7B0}" name="4" dataDxfId="82">
      <calculatedColumnFormula>LARGE((Table62348[[#This Row],[K1]:[Z4]]),4)</calculatedColumnFormula>
    </tableColumn>
    <tableColumn id="29" xr3:uid="{3D16C838-42DC-4D21-A67B-61ED8CF720D9}" name="5" dataDxfId="81">
      <calculatedColumnFormula>LARGE((Table62348[[#This Row],[K1]:[Z4]]),5)</calculatedColumnFormula>
    </tableColumn>
    <tableColumn id="30" xr3:uid="{0DA2BE3B-D48F-4DCB-B537-6177F3EA21AC}" name="6" dataDxfId="80">
      <calculatedColumnFormula>LARGE((Table62348[[#This Row],[K1]:[Z4]]),6)</calculatedColumnFormula>
    </tableColumn>
    <tableColumn id="31" xr3:uid="{E1CD0F13-EABC-4AD5-86C8-3A8D5915C6A3}" name="7" dataDxfId="79">
      <calculatedColumnFormula>LARGE((Table62348[[#This Row],[K1]:[Z4]]),7)</calculatedColumnFormula>
    </tableColumn>
    <tableColumn id="32" xr3:uid="{D9A3B214-D787-4BE7-A7C3-2A23C3855E59}" name="8" dataDxfId="78">
      <calculatedColumnFormula>LARGE((Table62348[[#This Row],[K1]:[Z4]]),8)</calculatedColumnFormula>
    </tableColumn>
    <tableColumn id="33" xr3:uid="{0C89EE85-7C4A-4FD5-B747-F704692F4713}" name="9" dataDxfId="77">
      <calculatedColumnFormula>LARGE((Table62348[[#This Row],[K1]:[Z4]]),9)</calculatedColumnFormula>
    </tableColumn>
    <tableColumn id="34" xr3:uid="{527FF9BF-1150-488A-A261-98C522E372A9}" name="10" dataDxfId="76">
      <calculatedColumnFormula>LARGE((Table62348[[#This Row],[K1]:[Z4]]),10)</calculatedColumnFormula>
    </tableColumn>
    <tableColumn id="35" xr3:uid="{9BAC18EB-90AD-4540-8188-F1412C1CC365}" name="National" dataDxfId="75">
      <calculatedColumnFormula>SUM(Y4:AH4)</calculatedColumnFormula>
    </tableColumn>
    <tableColumn id="36" xr3:uid="{52650F51-FA8A-43ED-A865-18EAD0D7936A}" name="TOTAL" dataDxfId="74">
      <calculatedColumnFormula>K4+AI4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69CB332-C9E8-4628-B997-9521EEC7203C}">
  <we:reference id="wa200009404" version="1.0.0.8" store="en-GB" storeType="OMEX"/>
  <we:alternateReferences>
    <we:reference id="WA200009404" version="1.0.0.8" store="" storeType="OMEX"/>
  </we:alternateReferences>
  <we:properties>
    <we:property name="claude.fileId" value="&quot;b81ab7a6-f5f2-4aeb-a150-e720a56772b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apex-timing.com/goracing/results.php?path=/rotax-south-africa/2026/nationalround1&amp;group=2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0"/>
  <sheetViews>
    <sheetView zoomScaleNormal="100" workbookViewId="0">
      <pane xSplit="6" topLeftCell="L1" activePane="topRight" state="frozen"/>
      <selection pane="topRight" sqref="A1:AJ1"/>
    </sheetView>
  </sheetViews>
  <sheetFormatPr defaultColWidth="3.6640625" defaultRowHeight="13.8" x14ac:dyDescent="0.25"/>
  <cols>
    <col min="1" max="1" width="5" style="12" bestFit="1" customWidth="1"/>
    <col min="2" max="2" width="4.44140625" style="10" bestFit="1" customWidth="1"/>
    <col min="3" max="3" width="28.6640625" style="10" bestFit="1" customWidth="1"/>
    <col min="4" max="4" width="10.6640625" style="34" bestFit="1" customWidth="1"/>
    <col min="5" max="5" width="8.33203125" style="12" bestFit="1" customWidth="1"/>
    <col min="6" max="6" width="8.6640625" style="34" bestFit="1" customWidth="1"/>
    <col min="7" max="10" width="4" style="10" hidden="1" customWidth="1"/>
    <col min="11" max="11" width="4" style="14" hidden="1" customWidth="1"/>
    <col min="12" max="14" width="4" style="12" customWidth="1"/>
    <col min="15" max="34" width="4" style="10" customWidth="1"/>
    <col min="35" max="35" width="7.109375" style="13" bestFit="1" customWidth="1"/>
    <col min="36" max="36" width="6.44140625" style="14" bestFit="1" customWidth="1"/>
    <col min="37" max="37" width="6.5546875" style="10" bestFit="1" customWidth="1"/>
    <col min="38" max="38" width="4.33203125" style="10" bestFit="1" customWidth="1"/>
    <col min="39" max="16384" width="3.6640625" style="10"/>
  </cols>
  <sheetData>
    <row r="1" spans="1:37" s="9" customFormat="1" ht="78" customHeight="1" thickBot="1" x14ac:dyDescent="0.35">
      <c r="A1" s="100" t="e" vm="1">
        <v>#VALUE!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2"/>
    </row>
    <row r="2" spans="1:37" ht="25.5" customHeight="1" thickBot="1" x14ac:dyDescent="0.3">
      <c r="A2" s="113" t="e" vm="2">
        <v>#VALUE!</v>
      </c>
      <c r="B2" s="114"/>
      <c r="C2" s="114"/>
      <c r="D2" s="114"/>
      <c r="E2" s="114"/>
      <c r="F2" s="114"/>
      <c r="G2" s="115" t="s">
        <v>0</v>
      </c>
      <c r="H2" s="116"/>
      <c r="I2" s="116"/>
      <c r="J2" s="116"/>
      <c r="K2" s="117"/>
      <c r="L2" s="118" t="s">
        <v>1</v>
      </c>
      <c r="M2" s="119"/>
      <c r="N2" s="120"/>
      <c r="O2" s="118" t="s">
        <v>55</v>
      </c>
      <c r="P2" s="119"/>
      <c r="Q2" s="120"/>
      <c r="R2" s="118" t="s">
        <v>466</v>
      </c>
      <c r="S2" s="119"/>
      <c r="T2" s="120"/>
      <c r="U2" s="118" t="s">
        <v>3</v>
      </c>
      <c r="V2" s="121"/>
      <c r="W2" s="121"/>
      <c r="X2" s="122"/>
      <c r="Y2" s="121" t="s">
        <v>4</v>
      </c>
      <c r="Z2" s="121"/>
      <c r="AA2" s="121"/>
      <c r="AB2" s="121"/>
      <c r="AC2" s="121"/>
      <c r="AD2" s="121"/>
      <c r="AE2" s="121"/>
      <c r="AF2" s="121"/>
      <c r="AG2" s="121"/>
      <c r="AH2" s="122"/>
      <c r="AI2" s="64" t="s">
        <v>5</v>
      </c>
      <c r="AJ2" s="65" t="s">
        <v>6</v>
      </c>
    </row>
    <row r="3" spans="1:37" ht="67.8" x14ac:dyDescent="0.25">
      <c r="A3" s="87" t="s">
        <v>7</v>
      </c>
      <c r="B3" s="88" t="s">
        <v>8</v>
      </c>
      <c r="C3" s="89" t="s">
        <v>9</v>
      </c>
      <c r="D3" s="90" t="s">
        <v>10</v>
      </c>
      <c r="E3" s="88" t="s">
        <v>11</v>
      </c>
      <c r="F3" s="91" t="s">
        <v>12</v>
      </c>
      <c r="G3" s="39" t="s">
        <v>13</v>
      </c>
      <c r="H3" s="40" t="s">
        <v>14</v>
      </c>
      <c r="I3" s="41" t="s">
        <v>15</v>
      </c>
      <c r="J3" s="50" t="s">
        <v>16</v>
      </c>
      <c r="K3" s="85" t="s">
        <v>17</v>
      </c>
      <c r="L3" s="39" t="s">
        <v>18</v>
      </c>
      <c r="M3" s="41" t="s">
        <v>19</v>
      </c>
      <c r="N3" s="42" t="s">
        <v>20</v>
      </c>
      <c r="O3" s="18" t="s">
        <v>438</v>
      </c>
      <c r="P3" s="16" t="s">
        <v>439</v>
      </c>
      <c r="Q3" s="19" t="s">
        <v>440</v>
      </c>
      <c r="R3" s="18" t="s">
        <v>21</v>
      </c>
      <c r="S3" s="16" t="s">
        <v>22</v>
      </c>
      <c r="T3" s="19" t="s">
        <v>23</v>
      </c>
      <c r="U3" s="70" t="s">
        <v>441</v>
      </c>
      <c r="V3" s="71" t="s">
        <v>442</v>
      </c>
      <c r="W3" s="71" t="s">
        <v>443</v>
      </c>
      <c r="X3" s="17" t="s">
        <v>24</v>
      </c>
      <c r="Y3" s="84" t="s">
        <v>25</v>
      </c>
      <c r="Z3" s="36" t="s">
        <v>26</v>
      </c>
      <c r="AA3" s="36" t="s">
        <v>27</v>
      </c>
      <c r="AB3" s="36" t="s">
        <v>28</v>
      </c>
      <c r="AC3" s="36" t="s">
        <v>29</v>
      </c>
      <c r="AD3" s="36" t="s">
        <v>30</v>
      </c>
      <c r="AE3" s="36" t="s">
        <v>31</v>
      </c>
      <c r="AF3" s="36" t="s">
        <v>32</v>
      </c>
      <c r="AG3" s="36" t="s">
        <v>33</v>
      </c>
      <c r="AH3" s="86" t="s">
        <v>34</v>
      </c>
      <c r="AI3" s="20" t="s">
        <v>35</v>
      </c>
      <c r="AJ3" s="58" t="s">
        <v>5</v>
      </c>
    </row>
    <row r="4" spans="1:37" ht="14.4" customHeight="1" x14ac:dyDescent="0.3">
      <c r="A4" s="92">
        <v>1</v>
      </c>
      <c r="B4" s="51">
        <v>55</v>
      </c>
      <c r="C4" t="str">
        <f>_xlfn.XLOOKUP(Table6234[[#This Row],[No.]],Sheet2!B:B,Sheet2!C:C)</f>
        <v>Melokhule Ndlovu</v>
      </c>
      <c r="D4" s="52">
        <f>_xlfn.XLOOKUP(Table6234[[#This Row],[No.]],Sheet2!B:B,Sheet2!G:G)</f>
        <v>44293</v>
      </c>
      <c r="E4" s="51" t="str">
        <f>_xlfn.XLOOKUP(Table6234[[#This Row],[No.]],Sheet2!B:B,Sheet2!H:H)</f>
        <v>KZN</v>
      </c>
      <c r="F4" s="30" t="str">
        <f>_xlfn.XLOOKUP(Table6234[[#This Row],[No.]],Sheet2!B:B,Sheet2!D:D)</f>
        <v>TOP</v>
      </c>
      <c r="G4" s="37">
        <v>3</v>
      </c>
      <c r="H4" s="51">
        <v>3</v>
      </c>
      <c r="I4" s="51">
        <v>3</v>
      </c>
      <c r="J4" s="51">
        <v>3</v>
      </c>
      <c r="K4" s="96">
        <f>SUM(Table6234[[#This Row],[SARMC 1]:[SARMC 4]])</f>
        <v>12</v>
      </c>
      <c r="L4" s="37">
        <v>24</v>
      </c>
      <c r="M4" s="51" t="s">
        <v>467</v>
      </c>
      <c r="N4" s="38">
        <v>35</v>
      </c>
      <c r="O4" s="37">
        <v>32</v>
      </c>
      <c r="P4" s="51">
        <v>32</v>
      </c>
      <c r="Q4" s="38">
        <v>32</v>
      </c>
      <c r="R4" s="37">
        <v>35</v>
      </c>
      <c r="S4" s="51">
        <v>29</v>
      </c>
      <c r="T4" s="38">
        <v>35</v>
      </c>
      <c r="U4" s="37">
        <v>32</v>
      </c>
      <c r="V4" s="51">
        <v>35</v>
      </c>
      <c r="W4" s="51">
        <v>32</v>
      </c>
      <c r="X4" s="38">
        <v>30</v>
      </c>
      <c r="Y4" s="51">
        <f>LARGE((Table6234[[#This Row],[K1]:[Z4]]),1)</f>
        <v>35</v>
      </c>
      <c r="Z4" s="51">
        <f>LARGE((Table6234[[#This Row],[K1]:[Z4]]),2)</f>
        <v>35</v>
      </c>
      <c r="AA4" s="51">
        <f>LARGE((Table6234[[#This Row],[K1]:[Z4]]),3)</f>
        <v>35</v>
      </c>
      <c r="AB4" s="51">
        <f>LARGE((Table6234[[#This Row],[K1]:[Z4]]),4)</f>
        <v>35</v>
      </c>
      <c r="AC4" s="51">
        <f>LARGE((Table6234[[#This Row],[K1]:[Z4]]),5)</f>
        <v>32</v>
      </c>
      <c r="AD4" s="51">
        <f>LARGE((Table6234[[#This Row],[K1]:[Z4]]),6)</f>
        <v>32</v>
      </c>
      <c r="AE4" s="51">
        <f>LARGE((Table6234[[#This Row],[K1]:[Z4]]),7)</f>
        <v>32</v>
      </c>
      <c r="AF4" s="51">
        <f>LARGE((Table6234[[#This Row],[K1]:[Z4]]),8)</f>
        <v>32</v>
      </c>
      <c r="AG4" s="51">
        <f>LARGE((Table6234[[#This Row],[K1]:[Z4]]),9)</f>
        <v>32</v>
      </c>
      <c r="AH4" s="51">
        <f>LARGE((Table6234[[#This Row],[K1]:[Z4]]),10)</f>
        <v>30</v>
      </c>
      <c r="AI4" s="51">
        <f t="shared" ref="AI4:AI38" si="0">SUM(Y4:AH4)</f>
        <v>330</v>
      </c>
      <c r="AJ4" s="51">
        <f t="shared" ref="AJ4:AJ38" si="1">K4+AI4</f>
        <v>342</v>
      </c>
      <c r="AK4" s="11"/>
    </row>
    <row r="5" spans="1:37" ht="14.4" customHeight="1" x14ac:dyDescent="0.3">
      <c r="A5" s="92">
        <v>2</v>
      </c>
      <c r="B5" s="51">
        <v>72</v>
      </c>
      <c r="C5" t="str">
        <f>_xlfn.XLOOKUP(Table6234[[#This Row],[No.]],Sheet2!B:B,Sheet2!C:C)</f>
        <v>Yerhu Malabie</v>
      </c>
      <c r="D5" s="52">
        <f>_xlfn.XLOOKUP(Table6234[[#This Row],[No.]],Sheet2!B:B,Sheet2!G:G)</f>
        <v>44523</v>
      </c>
      <c r="E5" s="51" t="str">
        <f>_xlfn.XLOOKUP(Table6234[[#This Row],[No.]],Sheet2!B:B,Sheet2!H:H)</f>
        <v>NR</v>
      </c>
      <c r="F5" s="30" t="str">
        <f>_xlfn.XLOOKUP(Table6234[[#This Row],[No.]],Sheet2!B:B,Sheet2!D:D)</f>
        <v>TOP</v>
      </c>
      <c r="G5" s="37">
        <v>3</v>
      </c>
      <c r="H5" s="51">
        <v>3</v>
      </c>
      <c r="I5" s="51">
        <v>3</v>
      </c>
      <c r="J5" s="51">
        <v>3</v>
      </c>
      <c r="K5" s="96">
        <f>SUM(Table6234[[#This Row],[SARMC 1]:[SARMC 4]])</f>
        <v>12</v>
      </c>
      <c r="L5" s="37">
        <v>35</v>
      </c>
      <c r="M5" s="51">
        <v>28</v>
      </c>
      <c r="N5" s="38">
        <v>29</v>
      </c>
      <c r="O5" s="37">
        <v>30</v>
      </c>
      <c r="P5" s="51">
        <v>17</v>
      </c>
      <c r="Q5" s="38">
        <v>30</v>
      </c>
      <c r="R5" s="37">
        <v>30</v>
      </c>
      <c r="S5" s="51">
        <v>35</v>
      </c>
      <c r="T5" s="38">
        <v>32</v>
      </c>
      <c r="U5" s="37">
        <v>35</v>
      </c>
      <c r="V5" s="51">
        <v>32</v>
      </c>
      <c r="W5" s="51">
        <v>35</v>
      </c>
      <c r="X5" s="38">
        <v>35</v>
      </c>
      <c r="Y5" s="51">
        <f>LARGE((Table6234[[#This Row],[K1]:[Z4]]),1)</f>
        <v>35</v>
      </c>
      <c r="Z5" s="51">
        <f>LARGE((Table6234[[#This Row],[K1]:[Z4]]),2)</f>
        <v>35</v>
      </c>
      <c r="AA5" s="51">
        <f>LARGE((Table6234[[#This Row],[K1]:[Z4]]),3)</f>
        <v>35</v>
      </c>
      <c r="AB5" s="51">
        <f>LARGE((Table6234[[#This Row],[K1]:[Z4]]),4)</f>
        <v>35</v>
      </c>
      <c r="AC5" s="51">
        <f>LARGE((Table6234[[#This Row],[K1]:[Z4]]),5)</f>
        <v>35</v>
      </c>
      <c r="AD5" s="51">
        <f>LARGE((Table6234[[#This Row],[K1]:[Z4]]),6)</f>
        <v>32</v>
      </c>
      <c r="AE5" s="51">
        <f>LARGE((Table6234[[#This Row],[K1]:[Z4]]),7)</f>
        <v>32</v>
      </c>
      <c r="AF5" s="51">
        <f>LARGE((Table6234[[#This Row],[K1]:[Z4]]),8)</f>
        <v>30</v>
      </c>
      <c r="AG5" s="51">
        <f>LARGE((Table6234[[#This Row],[K1]:[Z4]]),9)</f>
        <v>30</v>
      </c>
      <c r="AH5" s="51">
        <f>LARGE((Table6234[[#This Row],[K1]:[Z4]]),10)</f>
        <v>30</v>
      </c>
      <c r="AI5" s="51">
        <f t="shared" si="0"/>
        <v>329</v>
      </c>
      <c r="AJ5" s="51">
        <f t="shared" si="1"/>
        <v>341</v>
      </c>
      <c r="AK5" s="11"/>
    </row>
    <row r="6" spans="1:37" ht="14.4" customHeight="1" x14ac:dyDescent="0.3">
      <c r="A6" s="92">
        <v>3</v>
      </c>
      <c r="B6" s="51">
        <v>22</v>
      </c>
      <c r="C6" t="str">
        <f>_xlfn.XLOOKUP(Table6234[[#This Row],[No.]],Sheet2!B:B,Sheet2!C:C)</f>
        <v>Tiyani Malabie</v>
      </c>
      <c r="D6" s="52">
        <f>_xlfn.XLOOKUP(Table6234[[#This Row],[No.]],Sheet2!B:B,Sheet2!G:G)</f>
        <v>44534</v>
      </c>
      <c r="E6" s="51" t="str">
        <f>_xlfn.XLOOKUP(Table6234[[#This Row],[No.]],Sheet2!B:B,Sheet2!H:H)</f>
        <v>NR</v>
      </c>
      <c r="F6" s="30" t="str">
        <f>_xlfn.XLOOKUP(Table6234[[#This Row],[No.]],Sheet2!B:B,Sheet2!D:D)</f>
        <v>TOP</v>
      </c>
      <c r="G6" s="37">
        <v>3</v>
      </c>
      <c r="H6" s="51">
        <v>3</v>
      </c>
      <c r="I6" s="51">
        <v>3</v>
      </c>
      <c r="J6" s="51">
        <v>3</v>
      </c>
      <c r="K6" s="96">
        <f>SUM(Table6234[[#This Row],[SARMC 1]:[SARMC 4]])</f>
        <v>12</v>
      </c>
      <c r="L6" s="37">
        <v>32</v>
      </c>
      <c r="M6" s="51">
        <v>30</v>
      </c>
      <c r="N6" s="38">
        <v>32</v>
      </c>
      <c r="O6" s="37">
        <v>35</v>
      </c>
      <c r="P6" s="51">
        <v>35</v>
      </c>
      <c r="Q6" s="38">
        <v>35</v>
      </c>
      <c r="R6" s="37">
        <v>32</v>
      </c>
      <c r="S6" s="51">
        <v>27</v>
      </c>
      <c r="T6" s="38">
        <v>30</v>
      </c>
      <c r="U6" s="37">
        <v>30</v>
      </c>
      <c r="V6" s="51">
        <v>29</v>
      </c>
      <c r="W6" s="51">
        <v>28</v>
      </c>
      <c r="X6" s="38">
        <v>29</v>
      </c>
      <c r="Y6" s="51">
        <f>LARGE((Table6234[[#This Row],[K1]:[Z4]]),1)</f>
        <v>35</v>
      </c>
      <c r="Z6" s="51">
        <f>LARGE((Table6234[[#This Row],[K1]:[Z4]]),2)</f>
        <v>35</v>
      </c>
      <c r="AA6" s="51">
        <f>LARGE((Table6234[[#This Row],[K1]:[Z4]]),3)</f>
        <v>35</v>
      </c>
      <c r="AB6" s="51">
        <f>LARGE((Table6234[[#This Row],[K1]:[Z4]]),4)</f>
        <v>32</v>
      </c>
      <c r="AC6" s="51">
        <f>LARGE((Table6234[[#This Row],[K1]:[Z4]]),5)</f>
        <v>32</v>
      </c>
      <c r="AD6" s="51">
        <f>LARGE((Table6234[[#This Row],[K1]:[Z4]]),6)</f>
        <v>32</v>
      </c>
      <c r="AE6" s="51">
        <f>LARGE((Table6234[[#This Row],[K1]:[Z4]]),7)</f>
        <v>30</v>
      </c>
      <c r="AF6" s="51">
        <f>LARGE((Table6234[[#This Row],[K1]:[Z4]]),8)</f>
        <v>30</v>
      </c>
      <c r="AG6" s="51">
        <f>LARGE((Table6234[[#This Row],[K1]:[Z4]]),9)</f>
        <v>30</v>
      </c>
      <c r="AH6" s="51">
        <f>LARGE((Table6234[[#This Row],[K1]:[Z4]]),10)</f>
        <v>29</v>
      </c>
      <c r="AI6" s="51">
        <f t="shared" si="0"/>
        <v>320</v>
      </c>
      <c r="AJ6" s="51">
        <f t="shared" si="1"/>
        <v>332</v>
      </c>
      <c r="AK6" s="11"/>
    </row>
    <row r="7" spans="1:37" ht="14.4" customHeight="1" x14ac:dyDescent="0.3">
      <c r="A7" s="92">
        <v>4</v>
      </c>
      <c r="B7" s="51">
        <v>18</v>
      </c>
      <c r="C7" t="str">
        <f>_xlfn.XLOOKUP(Table6234[[#This Row],[No.]],Sheet2!B:B,Sheet2!C:C)</f>
        <v>Zonkizizwe Holomisa</v>
      </c>
      <c r="D7" s="52">
        <f>_xlfn.XLOOKUP(Table6234[[#This Row],[No.]],Sheet2!B:B,Sheet2!G:G)</f>
        <v>43093</v>
      </c>
      <c r="E7" s="51" t="str">
        <f>_xlfn.XLOOKUP(Table6234[[#This Row],[No.]],Sheet2!B:B,Sheet2!H:H)</f>
        <v>NR</v>
      </c>
      <c r="F7" s="30" t="str">
        <f>_xlfn.XLOOKUP(Table6234[[#This Row],[No.]],Sheet2!B:B,Sheet2!D:D)</f>
        <v>TOP</v>
      </c>
      <c r="G7" s="37">
        <v>3</v>
      </c>
      <c r="H7" s="51">
        <v>3</v>
      </c>
      <c r="I7" s="51">
        <v>3</v>
      </c>
      <c r="J7" s="51">
        <v>0</v>
      </c>
      <c r="K7" s="96">
        <f>SUM(Table6234[[#This Row],[SARMC 1]:[SARMC 4]])</f>
        <v>9</v>
      </c>
      <c r="L7" s="37">
        <v>29</v>
      </c>
      <c r="M7" s="51">
        <v>32</v>
      </c>
      <c r="N7" s="38">
        <v>28</v>
      </c>
      <c r="O7" s="37">
        <v>29</v>
      </c>
      <c r="P7" s="51">
        <v>25</v>
      </c>
      <c r="Q7" s="38">
        <v>18</v>
      </c>
      <c r="R7" s="37">
        <v>28</v>
      </c>
      <c r="S7" s="51">
        <v>30</v>
      </c>
      <c r="T7" s="38">
        <v>29</v>
      </c>
      <c r="U7" s="37">
        <v>27</v>
      </c>
      <c r="V7" s="51">
        <v>30</v>
      </c>
      <c r="W7" s="51">
        <v>30</v>
      </c>
      <c r="X7" s="38">
        <v>32</v>
      </c>
      <c r="Y7" s="51">
        <f>LARGE((Table6234[[#This Row],[K1]:[Z4]]),1)</f>
        <v>32</v>
      </c>
      <c r="Z7" s="51">
        <f>LARGE((Table6234[[#This Row],[K1]:[Z4]]),2)</f>
        <v>32</v>
      </c>
      <c r="AA7" s="51">
        <f>LARGE((Table6234[[#This Row],[K1]:[Z4]]),3)</f>
        <v>30</v>
      </c>
      <c r="AB7" s="51">
        <f>LARGE((Table6234[[#This Row],[K1]:[Z4]]),4)</f>
        <v>30</v>
      </c>
      <c r="AC7" s="51">
        <f>LARGE((Table6234[[#This Row],[K1]:[Z4]]),5)</f>
        <v>30</v>
      </c>
      <c r="AD7" s="51">
        <f>LARGE((Table6234[[#This Row],[K1]:[Z4]]),6)</f>
        <v>29</v>
      </c>
      <c r="AE7" s="51">
        <f>LARGE((Table6234[[#This Row],[K1]:[Z4]]),7)</f>
        <v>29</v>
      </c>
      <c r="AF7" s="51">
        <f>LARGE((Table6234[[#This Row],[K1]:[Z4]]),8)</f>
        <v>29</v>
      </c>
      <c r="AG7" s="51">
        <f>LARGE((Table6234[[#This Row],[K1]:[Z4]]),9)</f>
        <v>28</v>
      </c>
      <c r="AH7" s="51">
        <f>LARGE((Table6234[[#This Row],[K1]:[Z4]]),10)</f>
        <v>28</v>
      </c>
      <c r="AI7" s="51">
        <f t="shared" si="0"/>
        <v>297</v>
      </c>
      <c r="AJ7" s="51">
        <f t="shared" si="1"/>
        <v>306</v>
      </c>
      <c r="AK7" s="11"/>
    </row>
    <row r="8" spans="1:37" ht="14.4" customHeight="1" x14ac:dyDescent="0.3">
      <c r="A8" s="92">
        <v>5</v>
      </c>
      <c r="B8" s="51">
        <v>33</v>
      </c>
      <c r="C8" t="str">
        <f>_xlfn.XLOOKUP(Table6234[[#This Row],[No.]],Sheet2!B:B,Sheet2!C:C)</f>
        <v>Siyanda Nkwanyana</v>
      </c>
      <c r="D8" s="52">
        <f>_xlfn.XLOOKUP(Table6234[[#This Row],[No.]],Sheet2!B:B,Sheet2!G:G)</f>
        <v>45545</v>
      </c>
      <c r="E8" s="51" t="str">
        <f>_xlfn.XLOOKUP(Table6234[[#This Row],[No.]],Sheet2!B:B,Sheet2!H:H)</f>
        <v>NR</v>
      </c>
      <c r="F8" s="30" t="str">
        <f>_xlfn.XLOOKUP(Table6234[[#This Row],[No.]],Sheet2!B:B,Sheet2!D:D)</f>
        <v>TOP</v>
      </c>
      <c r="G8" s="37">
        <v>3</v>
      </c>
      <c r="H8" s="51">
        <v>3</v>
      </c>
      <c r="I8" s="51">
        <v>3</v>
      </c>
      <c r="J8" s="51">
        <v>3</v>
      </c>
      <c r="K8" s="96">
        <f>SUM(Table6234[[#This Row],[SARMC 1]:[SARMC 4]])</f>
        <v>12</v>
      </c>
      <c r="L8" s="37">
        <v>25</v>
      </c>
      <c r="M8" s="51">
        <v>27</v>
      </c>
      <c r="N8" s="38">
        <v>27</v>
      </c>
      <c r="O8" s="37" t="s">
        <v>467</v>
      </c>
      <c r="P8" s="51">
        <v>28</v>
      </c>
      <c r="Q8" s="38">
        <v>28</v>
      </c>
      <c r="R8" s="37">
        <v>27</v>
      </c>
      <c r="S8" s="51">
        <v>32</v>
      </c>
      <c r="T8" s="38">
        <v>28</v>
      </c>
      <c r="U8" s="37" t="s">
        <v>467</v>
      </c>
      <c r="V8" s="51">
        <v>27</v>
      </c>
      <c r="W8" s="51">
        <v>27</v>
      </c>
      <c r="X8" s="38">
        <v>28</v>
      </c>
      <c r="Y8" s="51">
        <f>LARGE((Table6234[[#This Row],[K1]:[Z4]]),1)</f>
        <v>32</v>
      </c>
      <c r="Z8" s="51">
        <f>LARGE((Table6234[[#This Row],[K1]:[Z4]]),2)</f>
        <v>28</v>
      </c>
      <c r="AA8" s="51">
        <f>LARGE((Table6234[[#This Row],[K1]:[Z4]]),3)</f>
        <v>28</v>
      </c>
      <c r="AB8" s="51">
        <f>LARGE((Table6234[[#This Row],[K1]:[Z4]]),4)</f>
        <v>28</v>
      </c>
      <c r="AC8" s="51">
        <f>LARGE((Table6234[[#This Row],[K1]:[Z4]]),5)</f>
        <v>28</v>
      </c>
      <c r="AD8" s="51">
        <f>LARGE((Table6234[[#This Row],[K1]:[Z4]]),6)</f>
        <v>27</v>
      </c>
      <c r="AE8" s="51">
        <f>LARGE((Table6234[[#This Row],[K1]:[Z4]]),7)</f>
        <v>27</v>
      </c>
      <c r="AF8" s="51">
        <f>LARGE((Table6234[[#This Row],[K1]:[Z4]]),8)</f>
        <v>27</v>
      </c>
      <c r="AG8" s="51">
        <f>LARGE((Table6234[[#This Row],[K1]:[Z4]]),9)</f>
        <v>27</v>
      </c>
      <c r="AH8" s="51">
        <f>LARGE((Table6234[[#This Row],[K1]:[Z4]]),10)</f>
        <v>27</v>
      </c>
      <c r="AI8" s="51">
        <f t="shared" si="0"/>
        <v>279</v>
      </c>
      <c r="AJ8" s="51">
        <f t="shared" si="1"/>
        <v>291</v>
      </c>
      <c r="AK8" s="11"/>
    </row>
    <row r="9" spans="1:37" ht="14.4" customHeight="1" x14ac:dyDescent="0.3">
      <c r="A9" s="92">
        <v>6</v>
      </c>
      <c r="B9" s="51">
        <v>14</v>
      </c>
      <c r="C9" t="str">
        <f>_xlfn.XLOOKUP(Table6234[[#This Row],[No.]],Sheet2!B:B,Sheet2!C:C)</f>
        <v>Tyler Stanyer</v>
      </c>
      <c r="D9" s="52">
        <f>_xlfn.XLOOKUP(Table6234[[#This Row],[No.]],Sheet2!B:B,Sheet2!G:G)</f>
        <v>43198</v>
      </c>
      <c r="E9" s="51" t="str">
        <f>_xlfn.XLOOKUP(Table6234[[#This Row],[No.]],Sheet2!B:B,Sheet2!H:H)</f>
        <v>NR</v>
      </c>
      <c r="F9" s="30" t="str">
        <f>_xlfn.XLOOKUP(Table6234[[#This Row],[No.]],Sheet2!B:B,Sheet2!D:D)</f>
        <v>TOP</v>
      </c>
      <c r="G9" s="37">
        <v>3</v>
      </c>
      <c r="H9" s="51">
        <v>3</v>
      </c>
      <c r="I9" s="51">
        <v>3</v>
      </c>
      <c r="J9" s="51">
        <v>3</v>
      </c>
      <c r="K9" s="96">
        <f>SUM(Table6234[[#This Row],[SARMC 1]:[SARMC 4]])</f>
        <v>12</v>
      </c>
      <c r="L9" s="37">
        <v>28</v>
      </c>
      <c r="M9" s="51">
        <v>29</v>
      </c>
      <c r="N9" s="38">
        <v>26</v>
      </c>
      <c r="O9" s="37">
        <v>28</v>
      </c>
      <c r="P9" s="51">
        <v>27</v>
      </c>
      <c r="Q9" s="38">
        <v>25</v>
      </c>
      <c r="R9" s="37">
        <v>29</v>
      </c>
      <c r="S9" s="51">
        <v>25</v>
      </c>
      <c r="T9" s="38">
        <v>25</v>
      </c>
      <c r="U9" s="37">
        <v>29</v>
      </c>
      <c r="V9" s="51">
        <v>28</v>
      </c>
      <c r="W9" s="51">
        <v>29</v>
      </c>
      <c r="X9" s="38">
        <v>24</v>
      </c>
      <c r="Y9" s="51">
        <f>LARGE((Table6234[[#This Row],[K1]:[Z4]]),1)</f>
        <v>29</v>
      </c>
      <c r="Z9" s="51">
        <f>LARGE((Table6234[[#This Row],[K1]:[Z4]]),2)</f>
        <v>29</v>
      </c>
      <c r="AA9" s="51">
        <f>LARGE((Table6234[[#This Row],[K1]:[Z4]]),3)</f>
        <v>29</v>
      </c>
      <c r="AB9" s="51">
        <f>LARGE((Table6234[[#This Row],[K1]:[Z4]]),4)</f>
        <v>29</v>
      </c>
      <c r="AC9" s="51">
        <f>LARGE((Table6234[[#This Row],[K1]:[Z4]]),5)</f>
        <v>28</v>
      </c>
      <c r="AD9" s="51">
        <f>LARGE((Table6234[[#This Row],[K1]:[Z4]]),6)</f>
        <v>28</v>
      </c>
      <c r="AE9" s="51">
        <f>LARGE((Table6234[[#This Row],[K1]:[Z4]]),7)</f>
        <v>28</v>
      </c>
      <c r="AF9" s="51">
        <f>LARGE((Table6234[[#This Row],[K1]:[Z4]]),8)</f>
        <v>27</v>
      </c>
      <c r="AG9" s="51">
        <f>LARGE((Table6234[[#This Row],[K1]:[Z4]]),9)</f>
        <v>26</v>
      </c>
      <c r="AH9" s="51">
        <f>LARGE((Table6234[[#This Row],[K1]:[Z4]]),10)</f>
        <v>25</v>
      </c>
      <c r="AI9" s="51">
        <f t="shared" si="0"/>
        <v>278</v>
      </c>
      <c r="AJ9" s="51">
        <f t="shared" si="1"/>
        <v>290</v>
      </c>
      <c r="AK9" s="11"/>
    </row>
    <row r="10" spans="1:37" ht="14.4" customHeight="1" x14ac:dyDescent="0.3">
      <c r="A10" s="92">
        <v>7</v>
      </c>
      <c r="B10" s="51">
        <v>61</v>
      </c>
      <c r="C10" t="str">
        <f>_xlfn.XLOOKUP(Table6234[[#This Row],[No.]],Sheet2!B:B,Sheet2!C:C)</f>
        <v>William Grant</v>
      </c>
      <c r="D10" s="52">
        <f>_xlfn.XLOOKUP(Table6234[[#This Row],[No.]],Sheet2!B:B,Sheet2!G:G)</f>
        <v>46404</v>
      </c>
      <c r="E10" s="51" t="str">
        <f>_xlfn.XLOOKUP(Table6234[[#This Row],[No.]],Sheet2!B:B,Sheet2!H:H)</f>
        <v>NR</v>
      </c>
      <c r="F10" s="30" t="str">
        <f>_xlfn.XLOOKUP(Table6234[[#This Row],[No.]],Sheet2!B:B,Sheet2!D:D)</f>
        <v>TOP</v>
      </c>
      <c r="G10" s="37">
        <v>3</v>
      </c>
      <c r="H10" s="51">
        <v>3</v>
      </c>
      <c r="I10" s="51">
        <v>3</v>
      </c>
      <c r="J10" s="51">
        <v>3</v>
      </c>
      <c r="K10" s="96">
        <f>SUM(Table6234[[#This Row],[SARMC 1]:[SARMC 4]])</f>
        <v>12</v>
      </c>
      <c r="L10" s="37">
        <v>0</v>
      </c>
      <c r="M10" s="51">
        <v>0</v>
      </c>
      <c r="N10" s="38">
        <v>0</v>
      </c>
      <c r="O10" s="37">
        <v>23</v>
      </c>
      <c r="P10" s="51">
        <v>26</v>
      </c>
      <c r="Q10" s="38">
        <v>27</v>
      </c>
      <c r="R10" s="37">
        <v>26</v>
      </c>
      <c r="S10" s="51">
        <v>26</v>
      </c>
      <c r="T10" s="38">
        <v>27</v>
      </c>
      <c r="U10" s="37">
        <v>28</v>
      </c>
      <c r="V10" s="51">
        <v>24</v>
      </c>
      <c r="W10" s="51">
        <v>26</v>
      </c>
      <c r="X10" s="38">
        <v>27</v>
      </c>
      <c r="Y10" s="51">
        <f>LARGE((Table6234[[#This Row],[K1]:[Z4]]),1)</f>
        <v>28</v>
      </c>
      <c r="Z10" s="51">
        <f>LARGE((Table6234[[#This Row],[K1]:[Z4]]),2)</f>
        <v>27</v>
      </c>
      <c r="AA10" s="51">
        <f>LARGE((Table6234[[#This Row],[K1]:[Z4]]),3)</f>
        <v>27</v>
      </c>
      <c r="AB10" s="51">
        <f>LARGE((Table6234[[#This Row],[K1]:[Z4]]),4)</f>
        <v>27</v>
      </c>
      <c r="AC10" s="51">
        <f>LARGE((Table6234[[#This Row],[K1]:[Z4]]),5)</f>
        <v>26</v>
      </c>
      <c r="AD10" s="51">
        <f>LARGE((Table6234[[#This Row],[K1]:[Z4]]),6)</f>
        <v>26</v>
      </c>
      <c r="AE10" s="51">
        <f>LARGE((Table6234[[#This Row],[K1]:[Z4]]),7)</f>
        <v>26</v>
      </c>
      <c r="AF10" s="51">
        <f>LARGE((Table6234[[#This Row],[K1]:[Z4]]),8)</f>
        <v>26</v>
      </c>
      <c r="AG10" s="51">
        <f>LARGE((Table6234[[#This Row],[K1]:[Z4]]),9)</f>
        <v>24</v>
      </c>
      <c r="AH10" s="51">
        <f>LARGE((Table6234[[#This Row],[K1]:[Z4]]),10)</f>
        <v>23</v>
      </c>
      <c r="AI10" s="51">
        <f t="shared" si="0"/>
        <v>260</v>
      </c>
      <c r="AJ10" s="51">
        <f t="shared" si="1"/>
        <v>272</v>
      </c>
      <c r="AK10" s="11"/>
    </row>
    <row r="11" spans="1:37" ht="14.4" customHeight="1" x14ac:dyDescent="0.3">
      <c r="A11" s="92">
        <v>8</v>
      </c>
      <c r="B11" s="51">
        <v>25</v>
      </c>
      <c r="C11" t="str">
        <f>_xlfn.XLOOKUP(Table6234[[#This Row],[No.]],Sheet2!B:B,Sheet2!C:C)</f>
        <v>Zaid Panday</v>
      </c>
      <c r="D11" s="52">
        <f>_xlfn.XLOOKUP(Table6234[[#This Row],[No.]],Sheet2!B:B,Sheet2!G:G)</f>
        <v>45552</v>
      </c>
      <c r="E11" s="51" t="str">
        <f>_xlfn.XLOOKUP(Table6234[[#This Row],[No.]],Sheet2!B:B,Sheet2!H:H)</f>
        <v>WP</v>
      </c>
      <c r="F11" s="30" t="str">
        <f>_xlfn.XLOOKUP(Table6234[[#This Row],[No.]],Sheet2!B:B,Sheet2!D:D)</f>
        <v>TOP</v>
      </c>
      <c r="G11" s="37">
        <v>3</v>
      </c>
      <c r="H11" s="51">
        <v>0</v>
      </c>
      <c r="I11" s="51">
        <v>3</v>
      </c>
      <c r="J11" s="51">
        <v>3</v>
      </c>
      <c r="K11" s="96">
        <f>SUM(Table6234[[#This Row],[SARMC 1]:[SARMC 4]])</f>
        <v>9</v>
      </c>
      <c r="L11" s="37">
        <v>30</v>
      </c>
      <c r="M11" s="51">
        <v>35</v>
      </c>
      <c r="N11" s="38">
        <v>30</v>
      </c>
      <c r="O11" s="37">
        <v>26</v>
      </c>
      <c r="P11" s="51">
        <v>29</v>
      </c>
      <c r="Q11" s="38">
        <v>26</v>
      </c>
      <c r="R11" s="37">
        <v>0</v>
      </c>
      <c r="S11" s="51">
        <v>0</v>
      </c>
      <c r="T11" s="38">
        <v>0</v>
      </c>
      <c r="U11" s="37">
        <v>18</v>
      </c>
      <c r="V11" s="51">
        <v>26</v>
      </c>
      <c r="W11" s="51">
        <v>21</v>
      </c>
      <c r="X11" s="38">
        <v>21</v>
      </c>
      <c r="Y11" s="51">
        <f>LARGE((Table6234[[#This Row],[K1]:[Z4]]),1)</f>
        <v>35</v>
      </c>
      <c r="Z11" s="51">
        <f>LARGE((Table6234[[#This Row],[K1]:[Z4]]),2)</f>
        <v>30</v>
      </c>
      <c r="AA11" s="51">
        <f>LARGE((Table6234[[#This Row],[K1]:[Z4]]),3)</f>
        <v>30</v>
      </c>
      <c r="AB11" s="51">
        <f>LARGE((Table6234[[#This Row],[K1]:[Z4]]),4)</f>
        <v>29</v>
      </c>
      <c r="AC11" s="51">
        <f>LARGE((Table6234[[#This Row],[K1]:[Z4]]),5)</f>
        <v>26</v>
      </c>
      <c r="AD11" s="51">
        <f>LARGE((Table6234[[#This Row],[K1]:[Z4]]),6)</f>
        <v>26</v>
      </c>
      <c r="AE11" s="51">
        <f>LARGE((Table6234[[#This Row],[K1]:[Z4]]),7)</f>
        <v>26</v>
      </c>
      <c r="AF11" s="51">
        <f>LARGE((Table6234[[#This Row],[K1]:[Z4]]),8)</f>
        <v>21</v>
      </c>
      <c r="AG11" s="51">
        <f>LARGE((Table6234[[#This Row],[K1]:[Z4]]),9)</f>
        <v>21</v>
      </c>
      <c r="AH11" s="51">
        <f>LARGE((Table6234[[#This Row],[K1]:[Z4]]),10)</f>
        <v>18</v>
      </c>
      <c r="AI11" s="51">
        <f t="shared" si="0"/>
        <v>262</v>
      </c>
      <c r="AJ11" s="51">
        <f t="shared" si="1"/>
        <v>271</v>
      </c>
      <c r="AK11" s="11"/>
    </row>
    <row r="12" spans="1:37" ht="14.4" customHeight="1" x14ac:dyDescent="0.3">
      <c r="A12" s="92">
        <v>9</v>
      </c>
      <c r="B12" s="51">
        <v>11</v>
      </c>
      <c r="C12" t="str">
        <f>_xlfn.XLOOKUP(Table6234[[#This Row],[No.]],Sheet2!B:B,Sheet2!C:C)</f>
        <v>Gerrard Martin</v>
      </c>
      <c r="D12" s="52">
        <f>_xlfn.XLOOKUP(Table6234[[#This Row],[No.]],Sheet2!B:B,Sheet2!G:G)</f>
        <v>45703</v>
      </c>
      <c r="E12" s="51" t="str">
        <f>_xlfn.XLOOKUP(Table6234[[#This Row],[No.]],Sheet2!B:B,Sheet2!H:H)</f>
        <v>NR</v>
      </c>
      <c r="F12" s="30" t="str">
        <f>_xlfn.XLOOKUP(Table6234[[#This Row],[No.]],Sheet2!B:B,Sheet2!D:D)</f>
        <v>TOP</v>
      </c>
      <c r="G12" s="37">
        <v>2</v>
      </c>
      <c r="H12" s="51">
        <v>3</v>
      </c>
      <c r="I12" s="51">
        <v>3</v>
      </c>
      <c r="J12" s="51">
        <v>2</v>
      </c>
      <c r="K12" s="96">
        <f>SUM(Table6234[[#This Row],[SARMC 1]:[SARMC 4]])</f>
        <v>10</v>
      </c>
      <c r="L12" s="37">
        <v>27</v>
      </c>
      <c r="M12" s="51">
        <v>26</v>
      </c>
      <c r="N12" s="38">
        <v>25</v>
      </c>
      <c r="O12" s="37">
        <v>25</v>
      </c>
      <c r="P12" s="51">
        <v>24</v>
      </c>
      <c r="Q12" s="38">
        <v>24</v>
      </c>
      <c r="R12" s="37">
        <v>22</v>
      </c>
      <c r="S12" s="51">
        <v>24</v>
      </c>
      <c r="T12" s="38">
        <v>23</v>
      </c>
      <c r="U12" s="37">
        <v>25</v>
      </c>
      <c r="V12" s="51">
        <v>21</v>
      </c>
      <c r="W12" s="51">
        <v>23</v>
      </c>
      <c r="X12" s="38">
        <v>25</v>
      </c>
      <c r="Y12" s="51">
        <f>LARGE((Table6234[[#This Row],[K1]:[Z4]]),1)</f>
        <v>27</v>
      </c>
      <c r="Z12" s="51">
        <f>LARGE((Table6234[[#This Row],[K1]:[Z4]]),2)</f>
        <v>26</v>
      </c>
      <c r="AA12" s="51">
        <f>LARGE((Table6234[[#This Row],[K1]:[Z4]]),3)</f>
        <v>25</v>
      </c>
      <c r="AB12" s="51">
        <f>LARGE((Table6234[[#This Row],[K1]:[Z4]]),4)</f>
        <v>25</v>
      </c>
      <c r="AC12" s="51">
        <f>LARGE((Table6234[[#This Row],[K1]:[Z4]]),5)</f>
        <v>25</v>
      </c>
      <c r="AD12" s="51">
        <f>LARGE((Table6234[[#This Row],[K1]:[Z4]]),6)</f>
        <v>25</v>
      </c>
      <c r="AE12" s="51">
        <f>LARGE((Table6234[[#This Row],[K1]:[Z4]]),7)</f>
        <v>24</v>
      </c>
      <c r="AF12" s="51">
        <f>LARGE((Table6234[[#This Row],[K1]:[Z4]]),8)</f>
        <v>24</v>
      </c>
      <c r="AG12" s="51">
        <f>LARGE((Table6234[[#This Row],[K1]:[Z4]]),9)</f>
        <v>24</v>
      </c>
      <c r="AH12" s="51">
        <f>LARGE((Table6234[[#This Row],[K1]:[Z4]]),10)</f>
        <v>23</v>
      </c>
      <c r="AI12" s="51">
        <f t="shared" si="0"/>
        <v>248</v>
      </c>
      <c r="AJ12" s="51">
        <f t="shared" si="1"/>
        <v>258</v>
      </c>
      <c r="AK12" s="11"/>
    </row>
    <row r="13" spans="1:37" ht="14.4" customHeight="1" x14ac:dyDescent="0.3">
      <c r="A13" s="92">
        <v>10</v>
      </c>
      <c r="B13" s="51">
        <v>24</v>
      </c>
      <c r="C13" t="str">
        <f>_xlfn.XLOOKUP(Table6234[[#This Row],[No.]],Sheet2!B:B,Sheet2!C:C)</f>
        <v>Handre Kukkuk</v>
      </c>
      <c r="D13" s="52">
        <f>_xlfn.XLOOKUP(Table6234[[#This Row],[No.]],Sheet2!B:B,Sheet2!G:G)</f>
        <v>45092</v>
      </c>
      <c r="E13" s="51" t="str">
        <f>_xlfn.XLOOKUP(Table6234[[#This Row],[No.]],Sheet2!B:B,Sheet2!H:H)</f>
        <v>NR</v>
      </c>
      <c r="F13" s="30" t="str">
        <f>_xlfn.XLOOKUP(Table6234[[#This Row],[No.]],Sheet2!B:B,Sheet2!D:D)</f>
        <v>TOP</v>
      </c>
      <c r="G13" s="37">
        <v>3</v>
      </c>
      <c r="H13" s="51">
        <v>3</v>
      </c>
      <c r="I13" s="51">
        <v>3</v>
      </c>
      <c r="J13" s="51">
        <v>3</v>
      </c>
      <c r="K13" s="96">
        <f>SUM(Table6234[[#This Row],[SARMC 1]:[SARMC 4]])</f>
        <v>12</v>
      </c>
      <c r="L13" s="37">
        <v>0</v>
      </c>
      <c r="M13" s="51">
        <v>0</v>
      </c>
      <c r="N13" s="38">
        <v>0</v>
      </c>
      <c r="O13" s="37">
        <v>24</v>
      </c>
      <c r="P13" s="51">
        <v>22</v>
      </c>
      <c r="Q13" s="38">
        <v>23</v>
      </c>
      <c r="R13" s="37">
        <v>19</v>
      </c>
      <c r="S13" s="51">
        <v>20</v>
      </c>
      <c r="T13" s="38">
        <v>21</v>
      </c>
      <c r="U13" s="37">
        <v>24</v>
      </c>
      <c r="V13" s="51">
        <v>25</v>
      </c>
      <c r="W13" s="51">
        <v>25</v>
      </c>
      <c r="X13" s="38">
        <v>22</v>
      </c>
      <c r="Y13" s="51">
        <f>LARGE((Table6234[[#This Row],[K1]:[Z4]]),1)</f>
        <v>25</v>
      </c>
      <c r="Z13" s="51">
        <f>LARGE((Table6234[[#This Row],[K1]:[Z4]]),2)</f>
        <v>25</v>
      </c>
      <c r="AA13" s="51">
        <f>LARGE((Table6234[[#This Row],[K1]:[Z4]]),3)</f>
        <v>24</v>
      </c>
      <c r="AB13" s="51">
        <f>LARGE((Table6234[[#This Row],[K1]:[Z4]]),4)</f>
        <v>24</v>
      </c>
      <c r="AC13" s="51">
        <f>LARGE((Table6234[[#This Row],[K1]:[Z4]]),5)</f>
        <v>23</v>
      </c>
      <c r="AD13" s="51">
        <f>LARGE((Table6234[[#This Row],[K1]:[Z4]]),6)</f>
        <v>22</v>
      </c>
      <c r="AE13" s="51">
        <f>LARGE((Table6234[[#This Row],[K1]:[Z4]]),7)</f>
        <v>22</v>
      </c>
      <c r="AF13" s="51">
        <f>LARGE((Table6234[[#This Row],[K1]:[Z4]]),8)</f>
        <v>21</v>
      </c>
      <c r="AG13" s="51">
        <f>LARGE((Table6234[[#This Row],[K1]:[Z4]]),9)</f>
        <v>20</v>
      </c>
      <c r="AH13" s="51">
        <f>LARGE((Table6234[[#This Row],[K1]:[Z4]]),10)</f>
        <v>19</v>
      </c>
      <c r="AI13" s="51">
        <f t="shared" si="0"/>
        <v>225</v>
      </c>
      <c r="AJ13" s="51">
        <f t="shared" si="1"/>
        <v>237</v>
      </c>
      <c r="AK13" s="11"/>
    </row>
    <row r="14" spans="1:37" ht="14.4" customHeight="1" x14ac:dyDescent="0.3">
      <c r="A14" s="92">
        <v>11</v>
      </c>
      <c r="B14" s="51">
        <v>16</v>
      </c>
      <c r="C14" t="s">
        <v>444</v>
      </c>
      <c r="D14" s="52">
        <v>46082</v>
      </c>
      <c r="E14" s="51" t="s">
        <v>36</v>
      </c>
      <c r="F14" s="30" t="s">
        <v>317</v>
      </c>
      <c r="G14" s="37">
        <v>0</v>
      </c>
      <c r="H14" s="51">
        <v>3</v>
      </c>
      <c r="I14" s="51">
        <v>3</v>
      </c>
      <c r="J14" s="51">
        <v>0</v>
      </c>
      <c r="K14" s="96">
        <f>SUM(Table6234[[#This Row],[SARMC 1]:[SARMC 4]])</f>
        <v>6</v>
      </c>
      <c r="L14" s="37">
        <v>0</v>
      </c>
      <c r="M14" s="51">
        <v>0</v>
      </c>
      <c r="N14" s="38">
        <v>0</v>
      </c>
      <c r="O14" s="37">
        <v>22</v>
      </c>
      <c r="P14" s="51">
        <v>23</v>
      </c>
      <c r="Q14" s="38">
        <v>18</v>
      </c>
      <c r="R14" s="37">
        <v>18</v>
      </c>
      <c r="S14" s="51">
        <v>18</v>
      </c>
      <c r="T14" s="38">
        <v>18</v>
      </c>
      <c r="U14" s="37">
        <v>23</v>
      </c>
      <c r="V14" s="51">
        <v>23</v>
      </c>
      <c r="W14" s="51">
        <v>22</v>
      </c>
      <c r="X14" s="38">
        <v>23</v>
      </c>
      <c r="Y14" s="51">
        <f>LARGE((Table6234[[#This Row],[K1]:[Z4]]),1)</f>
        <v>23</v>
      </c>
      <c r="Z14" s="51">
        <f>LARGE((Table6234[[#This Row],[K1]:[Z4]]),2)</f>
        <v>23</v>
      </c>
      <c r="AA14" s="51">
        <f>LARGE((Table6234[[#This Row],[K1]:[Z4]]),3)</f>
        <v>23</v>
      </c>
      <c r="AB14" s="51">
        <f>LARGE((Table6234[[#This Row],[K1]:[Z4]]),4)</f>
        <v>23</v>
      </c>
      <c r="AC14" s="51">
        <f>LARGE((Table6234[[#This Row],[K1]:[Z4]]),5)</f>
        <v>22</v>
      </c>
      <c r="AD14" s="51">
        <f>LARGE((Table6234[[#This Row],[K1]:[Z4]]),6)</f>
        <v>22</v>
      </c>
      <c r="AE14" s="51">
        <f>LARGE((Table6234[[#This Row],[K1]:[Z4]]),7)</f>
        <v>18</v>
      </c>
      <c r="AF14" s="51">
        <f>LARGE((Table6234[[#This Row],[K1]:[Z4]]),8)</f>
        <v>18</v>
      </c>
      <c r="AG14" s="51">
        <f>LARGE((Table6234[[#This Row],[K1]:[Z4]]),9)</f>
        <v>18</v>
      </c>
      <c r="AH14" s="51">
        <f>LARGE((Table6234[[#This Row],[K1]:[Z4]]),10)</f>
        <v>18</v>
      </c>
      <c r="AI14" s="51">
        <f t="shared" si="0"/>
        <v>208</v>
      </c>
      <c r="AJ14" s="51">
        <f t="shared" si="1"/>
        <v>214</v>
      </c>
      <c r="AK14" s="11"/>
    </row>
    <row r="15" spans="1:37" ht="14.4" customHeight="1" x14ac:dyDescent="0.3">
      <c r="A15" s="92">
        <v>12</v>
      </c>
      <c r="B15" s="51">
        <v>57</v>
      </c>
      <c r="C15" t="str">
        <f>_xlfn.XLOOKUP(Table6234[[#This Row],[No.]],Sheet2!B:B,Sheet2!C:C)</f>
        <v>Jaxon Holzapfel</v>
      </c>
      <c r="D15" s="52">
        <f>_xlfn.XLOOKUP(Table6234[[#This Row],[No.]],Sheet2!B:B,Sheet2!G:G)</f>
        <v>6237</v>
      </c>
      <c r="E15" s="51" t="str">
        <f>_xlfn.XLOOKUP(Table6234[[#This Row],[No.]],Sheet2!B:B,Sheet2!H:H)</f>
        <v>NR</v>
      </c>
      <c r="F15" s="30" t="str">
        <f>_xlfn.XLOOKUP(Table6234[[#This Row],[No.]],Sheet2!B:B,Sheet2!D:D)</f>
        <v>TOP</v>
      </c>
      <c r="G15" s="37">
        <v>3</v>
      </c>
      <c r="H15" s="51">
        <v>0</v>
      </c>
      <c r="I15" s="51">
        <v>3</v>
      </c>
      <c r="J15" s="51">
        <v>3</v>
      </c>
      <c r="K15" s="96">
        <f>SUM(Table6234[[#This Row],[SARMC 1]:[SARMC 4]])</f>
        <v>9</v>
      </c>
      <c r="L15" s="37">
        <v>0</v>
      </c>
      <c r="M15" s="51">
        <v>0</v>
      </c>
      <c r="N15" s="38">
        <v>0</v>
      </c>
      <c r="O15" s="37">
        <v>0</v>
      </c>
      <c r="P15" s="51">
        <v>0</v>
      </c>
      <c r="Q15" s="38">
        <v>0</v>
      </c>
      <c r="R15" s="37">
        <v>21</v>
      </c>
      <c r="S15" s="51">
        <v>23</v>
      </c>
      <c r="T15" s="38">
        <v>24</v>
      </c>
      <c r="U15" s="37">
        <v>26</v>
      </c>
      <c r="V15" s="51">
        <v>22</v>
      </c>
      <c r="W15" s="51">
        <v>24</v>
      </c>
      <c r="X15" s="38">
        <v>26</v>
      </c>
      <c r="Y15" s="51">
        <f>LARGE((Table6234[[#This Row],[K1]:[Z4]]),1)</f>
        <v>26</v>
      </c>
      <c r="Z15" s="51">
        <f>LARGE((Table6234[[#This Row],[K1]:[Z4]]),2)</f>
        <v>26</v>
      </c>
      <c r="AA15" s="51">
        <f>LARGE((Table6234[[#This Row],[K1]:[Z4]]),3)</f>
        <v>24</v>
      </c>
      <c r="AB15" s="51">
        <f>LARGE((Table6234[[#This Row],[K1]:[Z4]]),4)</f>
        <v>24</v>
      </c>
      <c r="AC15" s="51">
        <f>LARGE((Table6234[[#This Row],[K1]:[Z4]]),5)</f>
        <v>23</v>
      </c>
      <c r="AD15" s="51">
        <f>LARGE((Table6234[[#This Row],[K1]:[Z4]]),6)</f>
        <v>22</v>
      </c>
      <c r="AE15" s="51">
        <f>LARGE((Table6234[[#This Row],[K1]:[Z4]]),7)</f>
        <v>21</v>
      </c>
      <c r="AF15" s="51">
        <f>LARGE((Table6234[[#This Row],[K1]:[Z4]]),8)</f>
        <v>0</v>
      </c>
      <c r="AG15" s="51">
        <f>LARGE((Table6234[[#This Row],[K1]:[Z4]]),9)</f>
        <v>0</v>
      </c>
      <c r="AH15" s="51">
        <f>LARGE((Table6234[[#This Row],[K1]:[Z4]]),10)</f>
        <v>0</v>
      </c>
      <c r="AI15" s="51">
        <f t="shared" si="0"/>
        <v>166</v>
      </c>
      <c r="AJ15" s="51">
        <f t="shared" si="1"/>
        <v>175</v>
      </c>
      <c r="AK15" s="11"/>
    </row>
    <row r="16" spans="1:37" ht="14.4" customHeight="1" x14ac:dyDescent="0.3">
      <c r="A16" s="92">
        <v>13</v>
      </c>
      <c r="B16" s="51">
        <v>29</v>
      </c>
      <c r="C16" t="str">
        <f>_xlfn.XLOOKUP(Table6234[[#This Row],[No.]],Sheet2!B:B,Sheet2!C:C)</f>
        <v>Grayson Venter</v>
      </c>
      <c r="D16" s="52">
        <f>_xlfn.XLOOKUP(Table6234[[#This Row],[No.]],Sheet2!B:B,Sheet2!G:G)</f>
        <v>44105</v>
      </c>
      <c r="E16" s="51" t="str">
        <f>_xlfn.XLOOKUP(Table6234[[#This Row],[No.]],Sheet2!B:B,Sheet2!H:H)</f>
        <v>NR</v>
      </c>
      <c r="F16" s="30" t="str">
        <f>_xlfn.XLOOKUP(Table6234[[#This Row],[No.]],Sheet2!B:B,Sheet2!D:D)</f>
        <v>TOP</v>
      </c>
      <c r="G16" s="37">
        <v>3</v>
      </c>
      <c r="H16" s="51">
        <v>3</v>
      </c>
      <c r="I16" s="51">
        <v>3</v>
      </c>
      <c r="J16" s="51">
        <v>0</v>
      </c>
      <c r="K16" s="96">
        <f>SUM(Table6234[[#This Row],[SARMC 1]:[SARMC 4]])</f>
        <v>9</v>
      </c>
      <c r="L16" s="37">
        <v>0</v>
      </c>
      <c r="M16" s="51">
        <v>0</v>
      </c>
      <c r="N16" s="38">
        <v>0</v>
      </c>
      <c r="O16" s="37">
        <v>27</v>
      </c>
      <c r="P16" s="51">
        <v>30</v>
      </c>
      <c r="Q16" s="38">
        <v>29</v>
      </c>
      <c r="R16" s="37">
        <v>25</v>
      </c>
      <c r="S16" s="51">
        <v>28</v>
      </c>
      <c r="T16" s="38">
        <v>26</v>
      </c>
      <c r="U16" s="37">
        <v>0</v>
      </c>
      <c r="V16" s="51">
        <v>0</v>
      </c>
      <c r="W16" s="51">
        <v>0</v>
      </c>
      <c r="X16" s="38">
        <v>0</v>
      </c>
      <c r="Y16" s="51">
        <f>LARGE((Table6234[[#This Row],[K1]:[Z4]]),1)</f>
        <v>30</v>
      </c>
      <c r="Z16" s="51">
        <f>LARGE((Table6234[[#This Row],[K1]:[Z4]]),2)</f>
        <v>29</v>
      </c>
      <c r="AA16" s="51">
        <f>LARGE((Table6234[[#This Row],[K1]:[Z4]]),3)</f>
        <v>28</v>
      </c>
      <c r="AB16" s="51">
        <f>LARGE((Table6234[[#This Row],[K1]:[Z4]]),4)</f>
        <v>27</v>
      </c>
      <c r="AC16" s="51">
        <f>LARGE((Table6234[[#This Row],[K1]:[Z4]]),5)</f>
        <v>26</v>
      </c>
      <c r="AD16" s="51">
        <f>LARGE((Table6234[[#This Row],[K1]:[Z4]]),6)</f>
        <v>25</v>
      </c>
      <c r="AE16" s="51">
        <f>LARGE((Table6234[[#This Row],[K1]:[Z4]]),7)</f>
        <v>0</v>
      </c>
      <c r="AF16" s="51">
        <f>LARGE((Table6234[[#This Row],[K1]:[Z4]]),8)</f>
        <v>0</v>
      </c>
      <c r="AG16" s="51">
        <f>LARGE((Table6234[[#This Row],[K1]:[Z4]]),9)</f>
        <v>0</v>
      </c>
      <c r="AH16" s="51">
        <f>LARGE((Table6234[[#This Row],[K1]:[Z4]]),10)</f>
        <v>0</v>
      </c>
      <c r="AI16" s="51">
        <f t="shared" si="0"/>
        <v>165</v>
      </c>
      <c r="AJ16" s="51">
        <f t="shared" si="1"/>
        <v>174</v>
      </c>
      <c r="AK16" s="11"/>
    </row>
    <row r="17" spans="1:37" ht="14.4" customHeight="1" x14ac:dyDescent="0.3">
      <c r="A17" s="92">
        <v>14</v>
      </c>
      <c r="B17" s="51">
        <v>83</v>
      </c>
      <c r="C17" t="str">
        <f>_xlfn.XLOOKUP(Table6234[[#This Row],[No.]],Sheet2!B:B,Sheet2!C:C)</f>
        <v>Miya Mabunda</v>
      </c>
      <c r="D17" s="52">
        <f>_xlfn.XLOOKUP(Table6234[[#This Row],[No.]],Sheet2!B:B,Sheet2!G:G)</f>
        <v>44449</v>
      </c>
      <c r="E17" s="51" t="str">
        <f>_xlfn.XLOOKUP(Table6234[[#This Row],[No.]],Sheet2!B:B,Sheet2!H:H)</f>
        <v>NR</v>
      </c>
      <c r="F17" s="30" t="str">
        <f>_xlfn.XLOOKUP(Table6234[[#This Row],[No.]],Sheet2!B:B,Sheet2!D:D)</f>
        <v>TOP</v>
      </c>
      <c r="G17" s="37">
        <v>0</v>
      </c>
      <c r="H17" s="51">
        <v>0</v>
      </c>
      <c r="I17" s="51">
        <v>3</v>
      </c>
      <c r="J17" s="51">
        <v>0</v>
      </c>
      <c r="K17" s="96">
        <f>SUM(Table6234[[#This Row],[SARMC 1]:[SARMC 4]])</f>
        <v>3</v>
      </c>
      <c r="L17" s="37">
        <v>26</v>
      </c>
      <c r="M17" s="51">
        <v>25</v>
      </c>
      <c r="N17" s="38">
        <v>24</v>
      </c>
      <c r="O17" s="37">
        <v>0</v>
      </c>
      <c r="P17" s="51">
        <v>0</v>
      </c>
      <c r="Q17" s="38">
        <v>0</v>
      </c>
      <c r="R17" s="37">
        <v>20</v>
      </c>
      <c r="S17" s="51">
        <v>19</v>
      </c>
      <c r="T17" s="38">
        <v>19</v>
      </c>
      <c r="U17" s="37">
        <v>0</v>
      </c>
      <c r="V17" s="51">
        <v>0</v>
      </c>
      <c r="W17" s="51">
        <v>0</v>
      </c>
      <c r="X17" s="38">
        <v>0</v>
      </c>
      <c r="Y17" s="51">
        <f>LARGE((Table6234[[#This Row],[K1]:[Z4]]),1)</f>
        <v>26</v>
      </c>
      <c r="Z17" s="51">
        <f>LARGE((Table6234[[#This Row],[K1]:[Z4]]),2)</f>
        <v>25</v>
      </c>
      <c r="AA17" s="51">
        <f>LARGE((Table6234[[#This Row],[K1]:[Z4]]),3)</f>
        <v>24</v>
      </c>
      <c r="AB17" s="51">
        <f>LARGE((Table6234[[#This Row],[K1]:[Z4]]),4)</f>
        <v>20</v>
      </c>
      <c r="AC17" s="51">
        <f>LARGE((Table6234[[#This Row],[K1]:[Z4]]),5)</f>
        <v>19</v>
      </c>
      <c r="AD17" s="51">
        <f>LARGE((Table6234[[#This Row],[K1]:[Z4]]),6)</f>
        <v>19</v>
      </c>
      <c r="AE17" s="51">
        <f>LARGE((Table6234[[#This Row],[K1]:[Z4]]),7)</f>
        <v>0</v>
      </c>
      <c r="AF17" s="51">
        <f>LARGE((Table6234[[#This Row],[K1]:[Z4]]),8)</f>
        <v>0</v>
      </c>
      <c r="AG17" s="51">
        <f>LARGE((Table6234[[#This Row],[K1]:[Z4]]),9)</f>
        <v>0</v>
      </c>
      <c r="AH17" s="51">
        <f>LARGE((Table6234[[#This Row],[K1]:[Z4]]),10)</f>
        <v>0</v>
      </c>
      <c r="AI17" s="51">
        <f t="shared" si="0"/>
        <v>133</v>
      </c>
      <c r="AJ17" s="51">
        <f t="shared" si="1"/>
        <v>136</v>
      </c>
      <c r="AK17" s="11"/>
    </row>
    <row r="18" spans="1:37" ht="14.4" customHeight="1" x14ac:dyDescent="0.3">
      <c r="A18" s="92">
        <v>15</v>
      </c>
      <c r="B18" s="51">
        <v>82</v>
      </c>
      <c r="C18" t="str">
        <f>_xlfn.XLOOKUP(Table6234[[#This Row],[No.]],Sheet2!B:B,Sheet2!C:C)</f>
        <v>Tiane Resende</v>
      </c>
      <c r="D18" s="52" t="str">
        <f>_xlfn.XLOOKUP(Table6234[[#This Row],[No.]],Sheet2!B:B,Sheet2!G:G)</f>
        <v>D037</v>
      </c>
      <c r="E18" s="51" t="str">
        <f>_xlfn.XLOOKUP(Table6234[[#This Row],[No.]],Sheet2!B:B,Sheet2!H:H)</f>
        <v>MOZ</v>
      </c>
      <c r="F18" s="30" t="str">
        <f>_xlfn.XLOOKUP(Table6234[[#This Row],[No.]],Sheet2!B:B,Sheet2!D:D)</f>
        <v>TOP</v>
      </c>
      <c r="G18" s="37">
        <v>3</v>
      </c>
      <c r="H18" s="51">
        <v>0</v>
      </c>
      <c r="I18" s="51">
        <v>0</v>
      </c>
      <c r="J18" s="51">
        <v>3</v>
      </c>
      <c r="K18" s="96">
        <f>SUM(Table6234[[#This Row],[SARMC 1]:[SARMC 4]])</f>
        <v>6</v>
      </c>
      <c r="L18" s="37">
        <v>0</v>
      </c>
      <c r="M18" s="51">
        <v>0</v>
      </c>
      <c r="N18" s="38">
        <v>0</v>
      </c>
      <c r="O18" s="37">
        <v>0</v>
      </c>
      <c r="P18" s="51">
        <v>0</v>
      </c>
      <c r="Q18" s="38">
        <v>0</v>
      </c>
      <c r="R18" s="37">
        <v>24</v>
      </c>
      <c r="S18" s="51">
        <v>22</v>
      </c>
      <c r="T18" s="38">
        <v>22</v>
      </c>
      <c r="U18" s="37">
        <v>0</v>
      </c>
      <c r="V18" s="51">
        <v>0</v>
      </c>
      <c r="W18" s="51">
        <v>0</v>
      </c>
      <c r="X18" s="38">
        <v>0</v>
      </c>
      <c r="Y18" s="51">
        <f>LARGE((Table6234[[#This Row],[K1]:[Z4]]),1)</f>
        <v>24</v>
      </c>
      <c r="Z18" s="51">
        <f>LARGE((Table6234[[#This Row],[K1]:[Z4]]),2)</f>
        <v>22</v>
      </c>
      <c r="AA18" s="51">
        <f>LARGE((Table6234[[#This Row],[K1]:[Z4]]),3)</f>
        <v>22</v>
      </c>
      <c r="AB18" s="51">
        <f>LARGE((Table6234[[#This Row],[K1]:[Z4]]),4)</f>
        <v>0</v>
      </c>
      <c r="AC18" s="51">
        <f>LARGE((Table6234[[#This Row],[K1]:[Z4]]),5)</f>
        <v>0</v>
      </c>
      <c r="AD18" s="51">
        <f>LARGE((Table6234[[#This Row],[K1]:[Z4]]),6)</f>
        <v>0</v>
      </c>
      <c r="AE18" s="51">
        <f>LARGE((Table6234[[#This Row],[K1]:[Z4]]),7)</f>
        <v>0</v>
      </c>
      <c r="AF18" s="51">
        <f>LARGE((Table6234[[#This Row],[K1]:[Z4]]),8)</f>
        <v>0</v>
      </c>
      <c r="AG18" s="51">
        <f>LARGE((Table6234[[#This Row],[K1]:[Z4]]),9)</f>
        <v>0</v>
      </c>
      <c r="AH18" s="51">
        <f>LARGE((Table6234[[#This Row],[K1]:[Z4]]),10)</f>
        <v>0</v>
      </c>
      <c r="AI18" s="51">
        <f t="shared" si="0"/>
        <v>68</v>
      </c>
      <c r="AJ18" s="51">
        <f t="shared" si="1"/>
        <v>74</v>
      </c>
      <c r="AK18" s="11"/>
    </row>
    <row r="19" spans="1:37" ht="14.4" customHeight="1" x14ac:dyDescent="0.3">
      <c r="A19" s="92">
        <v>16</v>
      </c>
      <c r="B19" s="51">
        <v>90</v>
      </c>
      <c r="C19" t="s">
        <v>478</v>
      </c>
      <c r="D19" s="52" t="s">
        <v>338</v>
      </c>
      <c r="E19" s="51" t="s">
        <v>415</v>
      </c>
      <c r="F19" s="30" t="s">
        <v>317</v>
      </c>
      <c r="G19" s="37">
        <v>0</v>
      </c>
      <c r="H19" s="51">
        <v>0</v>
      </c>
      <c r="I19" s="51">
        <v>0</v>
      </c>
      <c r="J19" s="51">
        <v>0</v>
      </c>
      <c r="K19" s="96">
        <f>SUM(Table6234[[#This Row],[SARMC 1]:[SARMC 4]])</f>
        <v>0</v>
      </c>
      <c r="L19" s="37">
        <v>0</v>
      </c>
      <c r="M19" s="51">
        <v>0</v>
      </c>
      <c r="N19" s="38">
        <v>0</v>
      </c>
      <c r="O19" s="37">
        <v>0</v>
      </c>
      <c r="P19" s="51">
        <v>0</v>
      </c>
      <c r="Q19" s="38">
        <v>0</v>
      </c>
      <c r="R19" s="37">
        <v>23</v>
      </c>
      <c r="S19" s="51">
        <v>21</v>
      </c>
      <c r="T19" s="38">
        <v>20</v>
      </c>
      <c r="U19" s="37">
        <v>0</v>
      </c>
      <c r="V19" s="51">
        <v>0</v>
      </c>
      <c r="W19" s="51">
        <v>0</v>
      </c>
      <c r="X19" s="38">
        <v>0</v>
      </c>
      <c r="Y19" s="51">
        <f>LARGE((Table6234[[#This Row],[K1]:[Z4]]),1)</f>
        <v>23</v>
      </c>
      <c r="Z19" s="51">
        <f>LARGE((Table6234[[#This Row],[K1]:[Z4]]),2)</f>
        <v>21</v>
      </c>
      <c r="AA19" s="51">
        <f>LARGE((Table6234[[#This Row],[K1]:[Z4]]),3)</f>
        <v>20</v>
      </c>
      <c r="AB19" s="51">
        <f>LARGE((Table6234[[#This Row],[K1]:[Z4]]),4)</f>
        <v>0</v>
      </c>
      <c r="AC19" s="51">
        <f>LARGE((Table6234[[#This Row],[K1]:[Z4]]),5)</f>
        <v>0</v>
      </c>
      <c r="AD19" s="51">
        <f>LARGE((Table6234[[#This Row],[K1]:[Z4]]),6)</f>
        <v>0</v>
      </c>
      <c r="AE19" s="51">
        <f>LARGE((Table6234[[#This Row],[K1]:[Z4]]),7)</f>
        <v>0</v>
      </c>
      <c r="AF19" s="51">
        <f>LARGE((Table6234[[#This Row],[K1]:[Z4]]),8)</f>
        <v>0</v>
      </c>
      <c r="AG19" s="51">
        <f>LARGE((Table6234[[#This Row],[K1]:[Z4]]),9)</f>
        <v>0</v>
      </c>
      <c r="AH19" s="51">
        <f>LARGE((Table6234[[#This Row],[K1]:[Z4]]),10)</f>
        <v>0</v>
      </c>
      <c r="AI19" s="51">
        <f t="shared" si="0"/>
        <v>64</v>
      </c>
      <c r="AJ19" s="51">
        <f t="shared" si="1"/>
        <v>64</v>
      </c>
      <c r="AK19" s="11"/>
    </row>
    <row r="20" spans="1:37" ht="14.4" customHeight="1" x14ac:dyDescent="0.3">
      <c r="A20" s="92">
        <v>17</v>
      </c>
      <c r="B20" s="51">
        <v>67</v>
      </c>
      <c r="C20" t="str">
        <f>_xlfn.XLOOKUP(Table6234[[#This Row],[No.]],Sheet2!B:B,Sheet2!C:C)</f>
        <v>Blake Van Deventer</v>
      </c>
      <c r="D20" s="52"/>
      <c r="E20" s="51" t="str">
        <f>_xlfn.XLOOKUP(Table6234[[#This Row],[No.]],Sheet2!B:B,Sheet2!H:H)</f>
        <v>WP</v>
      </c>
      <c r="F20" s="30" t="str">
        <f>_xlfn.XLOOKUP(Table6234[[#This Row],[No.]],Sheet2!B:B,Sheet2!D:D)</f>
        <v>TOP</v>
      </c>
      <c r="G20" s="37">
        <v>3</v>
      </c>
      <c r="H20" s="51">
        <v>3</v>
      </c>
      <c r="I20" s="51">
        <v>3</v>
      </c>
      <c r="J20" s="51">
        <v>3</v>
      </c>
      <c r="K20" s="96">
        <f>SUM(Table6234[[#This Row],[SARMC 1]:[SARMC 4]])</f>
        <v>12</v>
      </c>
      <c r="L20" s="37">
        <v>0</v>
      </c>
      <c r="M20" s="51">
        <v>0</v>
      </c>
      <c r="N20" s="38">
        <v>0</v>
      </c>
      <c r="O20" s="37">
        <v>0</v>
      </c>
      <c r="P20" s="51">
        <v>0</v>
      </c>
      <c r="Q20" s="38">
        <v>0</v>
      </c>
      <c r="R20" s="37">
        <v>0</v>
      </c>
      <c r="S20" s="51">
        <v>0</v>
      </c>
      <c r="T20" s="38">
        <v>0</v>
      </c>
      <c r="U20" s="37">
        <v>0</v>
      </c>
      <c r="V20" s="51">
        <v>0</v>
      </c>
      <c r="W20" s="51">
        <v>0</v>
      </c>
      <c r="X20" s="38">
        <v>0</v>
      </c>
      <c r="Y20" s="51">
        <f>LARGE((Table6234[[#This Row],[K1]:[Z4]]),1)</f>
        <v>0</v>
      </c>
      <c r="Z20" s="51">
        <f>LARGE((Table6234[[#This Row],[K1]:[Z4]]),2)</f>
        <v>0</v>
      </c>
      <c r="AA20" s="51">
        <f>LARGE((Table6234[[#This Row],[K1]:[Z4]]),3)</f>
        <v>0</v>
      </c>
      <c r="AB20" s="51">
        <f>LARGE((Table6234[[#This Row],[K1]:[Z4]]),4)</f>
        <v>0</v>
      </c>
      <c r="AC20" s="51">
        <f>LARGE((Table6234[[#This Row],[K1]:[Z4]]),5)</f>
        <v>0</v>
      </c>
      <c r="AD20" s="51">
        <f>LARGE((Table6234[[#This Row],[K1]:[Z4]]),6)</f>
        <v>0</v>
      </c>
      <c r="AE20" s="51">
        <f>LARGE((Table6234[[#This Row],[K1]:[Z4]]),7)</f>
        <v>0</v>
      </c>
      <c r="AF20" s="51">
        <f>LARGE((Table6234[[#This Row],[K1]:[Z4]]),8)</f>
        <v>0</v>
      </c>
      <c r="AG20" s="51">
        <f>LARGE((Table6234[[#This Row],[K1]:[Z4]]),9)</f>
        <v>0</v>
      </c>
      <c r="AH20" s="51">
        <f>LARGE((Table6234[[#This Row],[K1]:[Z4]]),10)</f>
        <v>0</v>
      </c>
      <c r="AI20" s="51">
        <f t="shared" si="0"/>
        <v>0</v>
      </c>
      <c r="AJ20" s="51">
        <f t="shared" si="1"/>
        <v>12</v>
      </c>
      <c r="AK20" s="11"/>
    </row>
    <row r="21" spans="1:37" ht="14.4" customHeight="1" x14ac:dyDescent="0.3">
      <c r="A21" s="92">
        <v>18</v>
      </c>
      <c r="B21" s="51">
        <v>93</v>
      </c>
      <c r="C21" t="str">
        <f>_xlfn.XLOOKUP(Table6234[[#This Row],[No.]],Sheet2!B:B,Sheet2!C:C)</f>
        <v>Sebastian Fletcher</v>
      </c>
      <c r="D21" s="52">
        <f>_xlfn.XLOOKUP(Table6234[[#This Row],[No.]],Sheet2!B:B,Sheet2!G:G)</f>
        <v>46383</v>
      </c>
      <c r="E21" s="51" t="str">
        <f>_xlfn.XLOOKUP(Table6234[[#This Row],[No.]],Sheet2!B:B,Sheet2!H:H)</f>
        <v>WP</v>
      </c>
      <c r="F21" s="30" t="str">
        <f>_xlfn.XLOOKUP(Table6234[[#This Row],[No.]],Sheet2!B:B,Sheet2!D:D)</f>
        <v>TOP</v>
      </c>
      <c r="G21" s="37">
        <v>3</v>
      </c>
      <c r="H21" s="51">
        <v>3</v>
      </c>
      <c r="I21" s="51">
        <v>3</v>
      </c>
      <c r="J21" s="51">
        <v>3</v>
      </c>
      <c r="K21" s="96">
        <f>SUM(Table6234[[#This Row],[SARMC 1]:[SARMC 4]])</f>
        <v>12</v>
      </c>
      <c r="L21" s="37">
        <v>0</v>
      </c>
      <c r="M21" s="51">
        <v>0</v>
      </c>
      <c r="N21" s="38">
        <v>0</v>
      </c>
      <c r="O21" s="37">
        <v>0</v>
      </c>
      <c r="P21" s="51">
        <v>0</v>
      </c>
      <c r="Q21" s="38">
        <v>0</v>
      </c>
      <c r="R21" s="37">
        <v>0</v>
      </c>
      <c r="S21" s="51">
        <v>0</v>
      </c>
      <c r="T21" s="38">
        <v>0</v>
      </c>
      <c r="U21" s="37">
        <v>0</v>
      </c>
      <c r="V21" s="51">
        <v>0</v>
      </c>
      <c r="W21" s="51">
        <v>0</v>
      </c>
      <c r="X21" s="38">
        <v>0</v>
      </c>
      <c r="Y21" s="51">
        <f>LARGE((Table6234[[#This Row],[K1]:[Z4]]),1)</f>
        <v>0</v>
      </c>
      <c r="Z21" s="51">
        <f>LARGE((Table6234[[#This Row],[K1]:[Z4]]),2)</f>
        <v>0</v>
      </c>
      <c r="AA21" s="51">
        <f>LARGE((Table6234[[#This Row],[K1]:[Z4]]),3)</f>
        <v>0</v>
      </c>
      <c r="AB21" s="51">
        <f>LARGE((Table6234[[#This Row],[K1]:[Z4]]),4)</f>
        <v>0</v>
      </c>
      <c r="AC21" s="51">
        <f>LARGE((Table6234[[#This Row],[K1]:[Z4]]),5)</f>
        <v>0</v>
      </c>
      <c r="AD21" s="51">
        <f>LARGE((Table6234[[#This Row],[K1]:[Z4]]),6)</f>
        <v>0</v>
      </c>
      <c r="AE21" s="51">
        <f>LARGE((Table6234[[#This Row],[K1]:[Z4]]),7)</f>
        <v>0</v>
      </c>
      <c r="AF21" s="51">
        <f>LARGE((Table6234[[#This Row],[K1]:[Z4]]),8)</f>
        <v>0</v>
      </c>
      <c r="AG21" s="51">
        <f>LARGE((Table6234[[#This Row],[K1]:[Z4]]),9)</f>
        <v>0</v>
      </c>
      <c r="AH21" s="51">
        <f>LARGE((Table6234[[#This Row],[K1]:[Z4]]),10)</f>
        <v>0</v>
      </c>
      <c r="AI21" s="51">
        <f t="shared" si="0"/>
        <v>0</v>
      </c>
      <c r="AJ21" s="51">
        <f t="shared" si="1"/>
        <v>12</v>
      </c>
      <c r="AK21" s="11"/>
    </row>
    <row r="22" spans="1:37" ht="14.4" customHeight="1" x14ac:dyDescent="0.3">
      <c r="A22" s="92">
        <v>19</v>
      </c>
      <c r="B22" s="51">
        <v>76</v>
      </c>
      <c r="C22" t="s">
        <v>460</v>
      </c>
      <c r="D22" s="52"/>
      <c r="E22" s="51" t="s">
        <v>44</v>
      </c>
      <c r="F22" s="30" t="s">
        <v>317</v>
      </c>
      <c r="G22" s="37">
        <v>3</v>
      </c>
      <c r="H22" s="51">
        <v>3</v>
      </c>
      <c r="I22" s="51">
        <v>3</v>
      </c>
      <c r="J22" s="51">
        <v>3</v>
      </c>
      <c r="K22" s="96">
        <f>SUM(Table6234[[#This Row],[SARMC 1]:[SARMC 4]])</f>
        <v>12</v>
      </c>
      <c r="L22" s="37">
        <v>0</v>
      </c>
      <c r="M22" s="51">
        <v>0</v>
      </c>
      <c r="N22" s="38">
        <v>0</v>
      </c>
      <c r="O22" s="37">
        <v>0</v>
      </c>
      <c r="P22" s="51">
        <v>0</v>
      </c>
      <c r="Q22" s="38">
        <v>0</v>
      </c>
      <c r="R22" s="37">
        <v>0</v>
      </c>
      <c r="S22" s="51">
        <v>0</v>
      </c>
      <c r="T22" s="38">
        <v>0</v>
      </c>
      <c r="U22" s="37">
        <v>0</v>
      </c>
      <c r="V22" s="51">
        <v>0</v>
      </c>
      <c r="W22" s="51">
        <v>0</v>
      </c>
      <c r="X22" s="38">
        <v>0</v>
      </c>
      <c r="Y22" s="51">
        <f>LARGE((Table6234[[#This Row],[K1]:[Z4]]),1)</f>
        <v>0</v>
      </c>
      <c r="Z22" s="51">
        <f>LARGE((Table6234[[#This Row],[K1]:[Z4]]),2)</f>
        <v>0</v>
      </c>
      <c r="AA22" s="51">
        <f>LARGE((Table6234[[#This Row],[K1]:[Z4]]),3)</f>
        <v>0</v>
      </c>
      <c r="AB22" s="51">
        <f>LARGE((Table6234[[#This Row],[K1]:[Z4]]),4)</f>
        <v>0</v>
      </c>
      <c r="AC22" s="51">
        <f>LARGE((Table6234[[#This Row],[K1]:[Z4]]),5)</f>
        <v>0</v>
      </c>
      <c r="AD22" s="51">
        <f>LARGE((Table6234[[#This Row],[K1]:[Z4]]),6)</f>
        <v>0</v>
      </c>
      <c r="AE22" s="51">
        <f>LARGE((Table6234[[#This Row],[K1]:[Z4]]),7)</f>
        <v>0</v>
      </c>
      <c r="AF22" s="51">
        <f>LARGE((Table6234[[#This Row],[K1]:[Z4]]),8)</f>
        <v>0</v>
      </c>
      <c r="AG22" s="51">
        <f>LARGE((Table6234[[#This Row],[K1]:[Z4]]),9)</f>
        <v>0</v>
      </c>
      <c r="AH22" s="51">
        <f>LARGE((Table6234[[#This Row],[K1]:[Z4]]),10)</f>
        <v>0</v>
      </c>
      <c r="AI22" s="51">
        <f t="shared" si="0"/>
        <v>0</v>
      </c>
      <c r="AJ22" s="51">
        <f t="shared" si="1"/>
        <v>12</v>
      </c>
      <c r="AK22" s="11"/>
    </row>
    <row r="23" spans="1:37" ht="14.4" customHeight="1" x14ac:dyDescent="0.3">
      <c r="A23" s="92">
        <v>20</v>
      </c>
      <c r="B23" s="51">
        <v>44</v>
      </c>
      <c r="C23" t="str">
        <f>_xlfn.XLOOKUP(Table6234[[#This Row],[No.]],Sheet2!B:B,Sheet2!C:C)</f>
        <v>Azlan Singh</v>
      </c>
      <c r="D23" s="52">
        <f>_xlfn.XLOOKUP(Table6234[[#This Row],[No.]],Sheet2!B:B,Sheet2!G:G)</f>
        <v>46203</v>
      </c>
      <c r="E23" s="51" t="str">
        <f>_xlfn.XLOOKUP(Table6234[[#This Row],[No.]],Sheet2!B:B,Sheet2!H:H)</f>
        <v>KZN</v>
      </c>
      <c r="F23" s="30" t="str">
        <f>_xlfn.XLOOKUP(Table6234[[#This Row],[No.]],Sheet2!B:B,Sheet2!D:D)</f>
        <v>TOP</v>
      </c>
      <c r="G23" s="37">
        <v>3</v>
      </c>
      <c r="H23" s="51">
        <v>3</v>
      </c>
      <c r="I23" s="51">
        <v>3</v>
      </c>
      <c r="J23" s="51">
        <v>3</v>
      </c>
      <c r="K23" s="96">
        <f>SUM(Table6234[[#This Row],[SARMC 1]:[SARMC 4]])</f>
        <v>12</v>
      </c>
      <c r="L23" s="37">
        <v>0</v>
      </c>
      <c r="M23" s="51">
        <v>0</v>
      </c>
      <c r="N23" s="38">
        <v>0</v>
      </c>
      <c r="O23" s="37">
        <v>0</v>
      </c>
      <c r="P23" s="51">
        <v>0</v>
      </c>
      <c r="Q23" s="38">
        <v>0</v>
      </c>
      <c r="R23" s="37">
        <v>0</v>
      </c>
      <c r="S23" s="51">
        <v>0</v>
      </c>
      <c r="T23" s="38">
        <v>0</v>
      </c>
      <c r="U23" s="37">
        <v>0</v>
      </c>
      <c r="V23" s="51">
        <v>0</v>
      </c>
      <c r="W23" s="51">
        <v>0</v>
      </c>
      <c r="X23" s="38">
        <v>0</v>
      </c>
      <c r="Y23" s="51">
        <f>LARGE((Table6234[[#This Row],[K1]:[Z4]]),1)</f>
        <v>0</v>
      </c>
      <c r="Z23" s="51">
        <f>LARGE((Table6234[[#This Row],[K1]:[Z4]]),2)</f>
        <v>0</v>
      </c>
      <c r="AA23" s="51">
        <f>LARGE((Table6234[[#This Row],[K1]:[Z4]]),3)</f>
        <v>0</v>
      </c>
      <c r="AB23" s="51">
        <f>LARGE((Table6234[[#This Row],[K1]:[Z4]]),4)</f>
        <v>0</v>
      </c>
      <c r="AC23" s="51">
        <f>LARGE((Table6234[[#This Row],[K1]:[Z4]]),5)</f>
        <v>0</v>
      </c>
      <c r="AD23" s="51">
        <f>LARGE((Table6234[[#This Row],[K1]:[Z4]]),6)</f>
        <v>0</v>
      </c>
      <c r="AE23" s="51">
        <f>LARGE((Table6234[[#This Row],[K1]:[Z4]]),7)</f>
        <v>0</v>
      </c>
      <c r="AF23" s="51">
        <f>LARGE((Table6234[[#This Row],[K1]:[Z4]]),8)</f>
        <v>0</v>
      </c>
      <c r="AG23" s="51">
        <f>LARGE((Table6234[[#This Row],[K1]:[Z4]]),9)</f>
        <v>0</v>
      </c>
      <c r="AH23" s="51">
        <f>LARGE((Table6234[[#This Row],[K1]:[Z4]]),10)</f>
        <v>0</v>
      </c>
      <c r="AI23" s="51">
        <f t="shared" si="0"/>
        <v>0</v>
      </c>
      <c r="AJ23" s="51">
        <f t="shared" si="1"/>
        <v>12</v>
      </c>
      <c r="AK23" s="11"/>
    </row>
    <row r="24" spans="1:37" ht="14.4" x14ac:dyDescent="0.3">
      <c r="A24" s="92">
        <v>21</v>
      </c>
      <c r="B24" s="51">
        <v>78</v>
      </c>
      <c r="C24" t="str">
        <f>_xlfn.XLOOKUP(Table6234[[#This Row],[No.]],Sheet2!B:B,Sheet2!C:C)</f>
        <v>Jayden Minnie</v>
      </c>
      <c r="D24" s="52">
        <f>_xlfn.XLOOKUP(Table6234[[#This Row],[No.]],Sheet2!B:B,Sheet2!G:G)</f>
        <v>46146</v>
      </c>
      <c r="E24" s="51" t="str">
        <f>_xlfn.XLOOKUP(Table6234[[#This Row],[No.]],Sheet2!B:B,Sheet2!H:H)</f>
        <v>NR</v>
      </c>
      <c r="F24" s="30" t="str">
        <f>_xlfn.XLOOKUP(Table6234[[#This Row],[No.]],Sheet2!B:B,Sheet2!D:D)</f>
        <v>TOP</v>
      </c>
      <c r="G24" s="37">
        <v>3</v>
      </c>
      <c r="H24" s="51">
        <v>3</v>
      </c>
      <c r="I24" s="51">
        <v>0</v>
      </c>
      <c r="J24" s="51">
        <v>3</v>
      </c>
      <c r="K24" s="96">
        <f>SUM(Table6234[[#This Row],[SARMC 1]:[SARMC 4]])</f>
        <v>9</v>
      </c>
      <c r="L24" s="37">
        <v>0</v>
      </c>
      <c r="M24" s="51">
        <v>0</v>
      </c>
      <c r="N24" s="38">
        <v>0</v>
      </c>
      <c r="O24" s="37">
        <v>0</v>
      </c>
      <c r="P24" s="51">
        <v>0</v>
      </c>
      <c r="Q24" s="38">
        <v>0</v>
      </c>
      <c r="R24" s="37">
        <v>0</v>
      </c>
      <c r="S24" s="51">
        <v>0</v>
      </c>
      <c r="T24" s="38">
        <v>0</v>
      </c>
      <c r="U24" s="37">
        <v>0</v>
      </c>
      <c r="V24" s="51">
        <v>0</v>
      </c>
      <c r="W24" s="51">
        <v>0</v>
      </c>
      <c r="X24" s="38">
        <v>0</v>
      </c>
      <c r="Y24" s="51">
        <f>LARGE((Table6234[[#This Row],[K1]:[Z4]]),1)</f>
        <v>0</v>
      </c>
      <c r="Z24" s="51">
        <f>LARGE((Table6234[[#This Row],[K1]:[Z4]]),2)</f>
        <v>0</v>
      </c>
      <c r="AA24" s="51">
        <f>LARGE((Table6234[[#This Row],[K1]:[Z4]]),3)</f>
        <v>0</v>
      </c>
      <c r="AB24" s="51">
        <f>LARGE((Table6234[[#This Row],[K1]:[Z4]]),4)</f>
        <v>0</v>
      </c>
      <c r="AC24" s="51">
        <f>LARGE((Table6234[[#This Row],[K1]:[Z4]]),5)</f>
        <v>0</v>
      </c>
      <c r="AD24" s="51">
        <f>LARGE((Table6234[[#This Row],[K1]:[Z4]]),6)</f>
        <v>0</v>
      </c>
      <c r="AE24" s="51">
        <f>LARGE((Table6234[[#This Row],[K1]:[Z4]]),7)</f>
        <v>0</v>
      </c>
      <c r="AF24" s="51">
        <f>LARGE((Table6234[[#This Row],[K1]:[Z4]]),8)</f>
        <v>0</v>
      </c>
      <c r="AG24" s="51">
        <f>LARGE((Table6234[[#This Row],[K1]:[Z4]]),9)</f>
        <v>0</v>
      </c>
      <c r="AH24" s="51">
        <f>LARGE((Table6234[[#This Row],[K1]:[Z4]]),10)</f>
        <v>0</v>
      </c>
      <c r="AI24" s="51">
        <f t="shared" si="0"/>
        <v>0</v>
      </c>
      <c r="AJ24" s="51">
        <f t="shared" si="1"/>
        <v>9</v>
      </c>
      <c r="AK24" s="11"/>
    </row>
    <row r="25" spans="1:37" ht="14.4" x14ac:dyDescent="0.3">
      <c r="A25" s="92">
        <v>22</v>
      </c>
      <c r="B25" s="51">
        <v>56</v>
      </c>
      <c r="C25" t="s">
        <v>459</v>
      </c>
      <c r="D25" s="52"/>
      <c r="E25" s="51" t="s">
        <v>44</v>
      </c>
      <c r="F25" s="30" t="s">
        <v>317</v>
      </c>
      <c r="G25" s="37">
        <v>3</v>
      </c>
      <c r="H25" s="51">
        <v>3</v>
      </c>
      <c r="I25" s="51">
        <v>3</v>
      </c>
      <c r="J25" s="51">
        <v>0</v>
      </c>
      <c r="K25" s="96">
        <f>SUM(Table6234[[#This Row],[SARMC 1]:[SARMC 4]])</f>
        <v>9</v>
      </c>
      <c r="L25" s="37">
        <v>0</v>
      </c>
      <c r="M25" s="51">
        <v>0</v>
      </c>
      <c r="N25" s="38">
        <v>0</v>
      </c>
      <c r="O25" s="37">
        <v>0</v>
      </c>
      <c r="P25" s="51">
        <v>0</v>
      </c>
      <c r="Q25" s="38">
        <v>0</v>
      </c>
      <c r="R25" s="37">
        <v>0</v>
      </c>
      <c r="S25" s="51">
        <v>0</v>
      </c>
      <c r="T25" s="38">
        <v>0</v>
      </c>
      <c r="U25" s="37">
        <v>0</v>
      </c>
      <c r="V25" s="51">
        <v>0</v>
      </c>
      <c r="W25" s="51">
        <v>0</v>
      </c>
      <c r="X25" s="38">
        <v>0</v>
      </c>
      <c r="Y25" s="51">
        <f>LARGE((Table6234[[#This Row],[K1]:[Z4]]),1)</f>
        <v>0</v>
      </c>
      <c r="Z25" s="51">
        <f>LARGE((Table6234[[#This Row],[K1]:[Z4]]),2)</f>
        <v>0</v>
      </c>
      <c r="AA25" s="51">
        <f>LARGE((Table6234[[#This Row],[K1]:[Z4]]),3)</f>
        <v>0</v>
      </c>
      <c r="AB25" s="51">
        <f>LARGE((Table6234[[#This Row],[K1]:[Z4]]),4)</f>
        <v>0</v>
      </c>
      <c r="AC25" s="51">
        <f>LARGE((Table6234[[#This Row],[K1]:[Z4]]),5)</f>
        <v>0</v>
      </c>
      <c r="AD25" s="51">
        <f>LARGE((Table6234[[#This Row],[K1]:[Z4]]),6)</f>
        <v>0</v>
      </c>
      <c r="AE25" s="51">
        <f>LARGE((Table6234[[#This Row],[K1]:[Z4]]),7)</f>
        <v>0</v>
      </c>
      <c r="AF25" s="51">
        <f>LARGE((Table6234[[#This Row],[K1]:[Z4]]),8)</f>
        <v>0</v>
      </c>
      <c r="AG25" s="51">
        <f>LARGE((Table6234[[#This Row],[K1]:[Z4]]),9)</f>
        <v>0</v>
      </c>
      <c r="AH25" s="51">
        <f>LARGE((Table6234[[#This Row],[K1]:[Z4]]),10)</f>
        <v>0</v>
      </c>
      <c r="AI25" s="51">
        <f t="shared" si="0"/>
        <v>0</v>
      </c>
      <c r="AJ25" s="51">
        <f t="shared" si="1"/>
        <v>9</v>
      </c>
      <c r="AK25" s="11"/>
    </row>
    <row r="26" spans="1:37" ht="14.4" x14ac:dyDescent="0.3">
      <c r="A26" s="92">
        <v>23</v>
      </c>
      <c r="B26" s="51">
        <v>98</v>
      </c>
      <c r="C26" t="str">
        <f>_xlfn.XLOOKUP(Table6234[[#This Row],[No.]],Sheet2!B:B,Sheet2!C:C)</f>
        <v>Elijah Fedderke</v>
      </c>
      <c r="D26" s="52">
        <f>_xlfn.XLOOKUP(Table6234[[#This Row],[No.]],Sheet2!B:B,Sheet2!G:G)</f>
        <v>46383</v>
      </c>
      <c r="E26" s="51" t="str">
        <f>_xlfn.XLOOKUP(Table6234[[#This Row],[No.]],Sheet2!B:B,Sheet2!H:H)</f>
        <v>KZN</v>
      </c>
      <c r="F26" s="30" t="str">
        <f>_xlfn.XLOOKUP(Table6234[[#This Row],[No.]],Sheet2!B:B,Sheet2!D:D)</f>
        <v>TOP</v>
      </c>
      <c r="G26" s="37">
        <v>3</v>
      </c>
      <c r="H26" s="51">
        <v>3</v>
      </c>
      <c r="I26" s="51">
        <v>3</v>
      </c>
      <c r="J26" s="51">
        <v>0</v>
      </c>
      <c r="K26" s="96">
        <f>SUM(Table6234[[#This Row],[SARMC 1]:[SARMC 4]])</f>
        <v>9</v>
      </c>
      <c r="L26" s="37">
        <v>0</v>
      </c>
      <c r="M26" s="51">
        <v>0</v>
      </c>
      <c r="N26" s="38">
        <v>0</v>
      </c>
      <c r="O26" s="37">
        <v>0</v>
      </c>
      <c r="P26" s="51">
        <v>0</v>
      </c>
      <c r="Q26" s="38">
        <v>0</v>
      </c>
      <c r="R26" s="37">
        <v>0</v>
      </c>
      <c r="S26" s="51">
        <v>0</v>
      </c>
      <c r="T26" s="38">
        <v>0</v>
      </c>
      <c r="U26" s="37">
        <v>0</v>
      </c>
      <c r="V26" s="51">
        <v>0</v>
      </c>
      <c r="W26" s="51">
        <v>0</v>
      </c>
      <c r="X26" s="38">
        <v>0</v>
      </c>
      <c r="Y26" s="51">
        <f>LARGE((Table6234[[#This Row],[K1]:[Z4]]),1)</f>
        <v>0</v>
      </c>
      <c r="Z26" s="51">
        <f>LARGE((Table6234[[#This Row],[K1]:[Z4]]),2)</f>
        <v>0</v>
      </c>
      <c r="AA26" s="51">
        <f>LARGE((Table6234[[#This Row],[K1]:[Z4]]),3)</f>
        <v>0</v>
      </c>
      <c r="AB26" s="51">
        <f>LARGE((Table6234[[#This Row],[K1]:[Z4]]),4)</f>
        <v>0</v>
      </c>
      <c r="AC26" s="51">
        <f>LARGE((Table6234[[#This Row],[K1]:[Z4]]),5)</f>
        <v>0</v>
      </c>
      <c r="AD26" s="51">
        <f>LARGE((Table6234[[#This Row],[K1]:[Z4]]),6)</f>
        <v>0</v>
      </c>
      <c r="AE26" s="51">
        <f>LARGE((Table6234[[#This Row],[K1]:[Z4]]),7)</f>
        <v>0</v>
      </c>
      <c r="AF26" s="51">
        <f>LARGE((Table6234[[#This Row],[K1]:[Z4]]),8)</f>
        <v>0</v>
      </c>
      <c r="AG26" s="51">
        <f>LARGE((Table6234[[#This Row],[K1]:[Z4]]),9)</f>
        <v>0</v>
      </c>
      <c r="AH26" s="51">
        <f>LARGE((Table6234[[#This Row],[K1]:[Z4]]),10)</f>
        <v>0</v>
      </c>
      <c r="AI26" s="51">
        <f t="shared" si="0"/>
        <v>0</v>
      </c>
      <c r="AJ26" s="51">
        <f t="shared" si="1"/>
        <v>9</v>
      </c>
      <c r="AK26" s="11"/>
    </row>
    <row r="27" spans="1:37" ht="14.4" x14ac:dyDescent="0.3">
      <c r="A27" s="92">
        <v>24</v>
      </c>
      <c r="B27" s="51">
        <v>37</v>
      </c>
      <c r="C27" t="str">
        <f>_xlfn.XLOOKUP(Table6234[[#This Row],[No.]],Sheet2!B:B,Sheet2!C:C)</f>
        <v>Kganya Mahlakoana</v>
      </c>
      <c r="D27" s="52">
        <f>_xlfn.XLOOKUP(Table6234[[#This Row],[No.]],Sheet2!B:B,Sheet2!G:G)</f>
        <v>46877</v>
      </c>
      <c r="E27" s="51" t="str">
        <f>_xlfn.XLOOKUP(Table6234[[#This Row],[No.]],Sheet2!B:B,Sheet2!H:H)</f>
        <v>NR</v>
      </c>
      <c r="F27" s="30" t="str">
        <f>_xlfn.XLOOKUP(Table6234[[#This Row],[No.]],Sheet2!B:B,Sheet2!D:D)</f>
        <v>TOP</v>
      </c>
      <c r="G27" s="37">
        <v>2</v>
      </c>
      <c r="H27" s="51">
        <v>0</v>
      </c>
      <c r="I27" s="51">
        <v>0</v>
      </c>
      <c r="J27" s="51">
        <v>3</v>
      </c>
      <c r="K27" s="96">
        <f>SUM(Table6234[[#This Row],[SARMC 1]:[SARMC 4]])</f>
        <v>5</v>
      </c>
      <c r="L27" s="37">
        <v>0</v>
      </c>
      <c r="M27" s="51">
        <v>0</v>
      </c>
      <c r="N27" s="38">
        <v>0</v>
      </c>
      <c r="O27" s="37">
        <v>0</v>
      </c>
      <c r="P27" s="51">
        <v>0</v>
      </c>
      <c r="Q27" s="38">
        <v>0</v>
      </c>
      <c r="R27" s="37">
        <v>0</v>
      </c>
      <c r="S27" s="51">
        <v>0</v>
      </c>
      <c r="T27" s="38">
        <v>0</v>
      </c>
      <c r="U27" s="37">
        <v>0</v>
      </c>
      <c r="V27" s="51">
        <v>0</v>
      </c>
      <c r="W27" s="51">
        <v>0</v>
      </c>
      <c r="X27" s="38">
        <v>0</v>
      </c>
      <c r="Y27" s="51">
        <f>LARGE((Table6234[[#This Row],[K1]:[Z4]]),1)</f>
        <v>0</v>
      </c>
      <c r="Z27" s="51">
        <f>LARGE((Table6234[[#This Row],[K1]:[Z4]]),2)</f>
        <v>0</v>
      </c>
      <c r="AA27" s="51">
        <f>LARGE((Table6234[[#This Row],[K1]:[Z4]]),3)</f>
        <v>0</v>
      </c>
      <c r="AB27" s="51">
        <f>LARGE((Table6234[[#This Row],[K1]:[Z4]]),4)</f>
        <v>0</v>
      </c>
      <c r="AC27" s="51">
        <f>LARGE((Table6234[[#This Row],[K1]:[Z4]]),5)</f>
        <v>0</v>
      </c>
      <c r="AD27" s="51">
        <f>LARGE((Table6234[[#This Row],[K1]:[Z4]]),6)</f>
        <v>0</v>
      </c>
      <c r="AE27" s="51">
        <f>LARGE((Table6234[[#This Row],[K1]:[Z4]]),7)</f>
        <v>0</v>
      </c>
      <c r="AF27" s="51">
        <f>LARGE((Table6234[[#This Row],[K1]:[Z4]]),8)</f>
        <v>0</v>
      </c>
      <c r="AG27" s="51">
        <f>LARGE((Table6234[[#This Row],[K1]:[Z4]]),9)</f>
        <v>0</v>
      </c>
      <c r="AH27" s="51">
        <f>LARGE((Table6234[[#This Row],[K1]:[Z4]]),10)</f>
        <v>0</v>
      </c>
      <c r="AI27" s="51">
        <f t="shared" si="0"/>
        <v>0</v>
      </c>
      <c r="AJ27" s="51">
        <f t="shared" si="1"/>
        <v>5</v>
      </c>
      <c r="AK27" s="11"/>
    </row>
    <row r="28" spans="1:37" ht="14.4" x14ac:dyDescent="0.3">
      <c r="A28" s="92">
        <v>25</v>
      </c>
      <c r="B28" s="51">
        <v>27</v>
      </c>
      <c r="C28" t="str">
        <f>_xlfn.XLOOKUP(Table6234[[#This Row],[No.]],Sheet2!B:B,Sheet2!C:C)</f>
        <v>Zayen Thesan</v>
      </c>
      <c r="D28" s="52">
        <f>_xlfn.XLOOKUP(Table6234[[#This Row],[No.]],Sheet2!B:B,Sheet2!G:G)</f>
        <v>46875</v>
      </c>
      <c r="E28" s="51" t="str">
        <f>_xlfn.XLOOKUP(Table6234[[#This Row],[No.]],Sheet2!B:B,Sheet2!H:H)</f>
        <v>KZN</v>
      </c>
      <c r="F28" s="30" t="str">
        <f>_xlfn.XLOOKUP(Table6234[[#This Row],[No.]],Sheet2!B:B,Sheet2!D:D)</f>
        <v>TOP</v>
      </c>
      <c r="G28" s="37">
        <v>3</v>
      </c>
      <c r="H28" s="51">
        <v>0</v>
      </c>
      <c r="I28" s="51">
        <v>0</v>
      </c>
      <c r="J28" s="51">
        <v>0</v>
      </c>
      <c r="K28" s="96">
        <f>SUM(Table6234[[#This Row],[SARMC 1]:[SARMC 4]])</f>
        <v>3</v>
      </c>
      <c r="L28" s="37">
        <v>0</v>
      </c>
      <c r="M28" s="51">
        <v>0</v>
      </c>
      <c r="N28" s="38">
        <v>0</v>
      </c>
      <c r="O28" s="37">
        <v>0</v>
      </c>
      <c r="P28" s="51">
        <v>0</v>
      </c>
      <c r="Q28" s="38">
        <v>0</v>
      </c>
      <c r="R28" s="37">
        <v>0</v>
      </c>
      <c r="S28" s="51">
        <v>0</v>
      </c>
      <c r="T28" s="38">
        <v>0</v>
      </c>
      <c r="U28" s="37">
        <v>0</v>
      </c>
      <c r="V28" s="51">
        <v>0</v>
      </c>
      <c r="W28" s="51">
        <v>0</v>
      </c>
      <c r="X28" s="38">
        <v>0</v>
      </c>
      <c r="Y28" s="51">
        <f>LARGE((Table6234[[#This Row],[K1]:[Z4]]),1)</f>
        <v>0</v>
      </c>
      <c r="Z28" s="51">
        <f>LARGE((Table6234[[#This Row],[K1]:[Z4]]),2)</f>
        <v>0</v>
      </c>
      <c r="AA28" s="51">
        <f>LARGE((Table6234[[#This Row],[K1]:[Z4]]),3)</f>
        <v>0</v>
      </c>
      <c r="AB28" s="51">
        <f>LARGE((Table6234[[#This Row],[K1]:[Z4]]),4)</f>
        <v>0</v>
      </c>
      <c r="AC28" s="51">
        <f>LARGE((Table6234[[#This Row],[K1]:[Z4]]),5)</f>
        <v>0</v>
      </c>
      <c r="AD28" s="51">
        <f>LARGE((Table6234[[#This Row],[K1]:[Z4]]),6)</f>
        <v>0</v>
      </c>
      <c r="AE28" s="51">
        <f>LARGE((Table6234[[#This Row],[K1]:[Z4]]),7)</f>
        <v>0</v>
      </c>
      <c r="AF28" s="51">
        <f>LARGE((Table6234[[#This Row],[K1]:[Z4]]),8)</f>
        <v>0</v>
      </c>
      <c r="AG28" s="51">
        <f>LARGE((Table6234[[#This Row],[K1]:[Z4]]),9)</f>
        <v>0</v>
      </c>
      <c r="AH28" s="51">
        <f>LARGE((Table6234[[#This Row],[K1]:[Z4]]),10)</f>
        <v>0</v>
      </c>
      <c r="AI28" s="51">
        <f t="shared" si="0"/>
        <v>0</v>
      </c>
      <c r="AJ28" s="51">
        <f t="shared" si="1"/>
        <v>3</v>
      </c>
      <c r="AK28" s="11"/>
    </row>
    <row r="29" spans="1:37" ht="14.4" x14ac:dyDescent="0.3">
      <c r="A29" s="92">
        <v>26</v>
      </c>
      <c r="B29" s="51">
        <v>52</v>
      </c>
      <c r="C29" t="str">
        <f>_xlfn.XLOOKUP(Table6234[[#This Row],[No.]],Sheet2!B:B,Sheet2!C:C)</f>
        <v>Hayden Allison</v>
      </c>
      <c r="D29" s="52">
        <v>46456</v>
      </c>
      <c r="E29" s="51" t="str">
        <f>_xlfn.XLOOKUP(Table6234[[#This Row],[No.]],Sheet2!B:B,Sheet2!H:H)</f>
        <v>NR</v>
      </c>
      <c r="F29" s="30" t="str">
        <f>_xlfn.XLOOKUP(Table6234[[#This Row],[No.]],Sheet2!B:B,Sheet2!D:D)</f>
        <v>TOP</v>
      </c>
      <c r="G29" s="37">
        <v>0</v>
      </c>
      <c r="H29" s="51">
        <v>3</v>
      </c>
      <c r="I29" s="51">
        <v>0</v>
      </c>
      <c r="J29" s="51">
        <v>0</v>
      </c>
      <c r="K29" s="96">
        <f>SUM(Table6234[[#This Row],[SARMC 1]:[SARMC 4]])</f>
        <v>3</v>
      </c>
      <c r="L29" s="37">
        <v>0</v>
      </c>
      <c r="M29" s="51">
        <v>0</v>
      </c>
      <c r="N29" s="38">
        <v>0</v>
      </c>
      <c r="O29" s="37">
        <v>0</v>
      </c>
      <c r="P29" s="51">
        <v>0</v>
      </c>
      <c r="Q29" s="38">
        <v>0</v>
      </c>
      <c r="R29" s="37">
        <v>0</v>
      </c>
      <c r="S29" s="51">
        <v>0</v>
      </c>
      <c r="T29" s="38">
        <v>0</v>
      </c>
      <c r="U29" s="37">
        <v>0</v>
      </c>
      <c r="V29" s="51">
        <v>0</v>
      </c>
      <c r="W29" s="51">
        <v>0</v>
      </c>
      <c r="X29" s="38">
        <v>0</v>
      </c>
      <c r="Y29" s="51">
        <f>LARGE((Table6234[[#This Row],[K1]:[Z4]]),1)</f>
        <v>0</v>
      </c>
      <c r="Z29" s="51">
        <f>LARGE((Table6234[[#This Row],[K1]:[Z4]]),2)</f>
        <v>0</v>
      </c>
      <c r="AA29" s="51">
        <f>LARGE((Table6234[[#This Row],[K1]:[Z4]]),3)</f>
        <v>0</v>
      </c>
      <c r="AB29" s="51">
        <f>LARGE((Table6234[[#This Row],[K1]:[Z4]]),4)</f>
        <v>0</v>
      </c>
      <c r="AC29" s="51">
        <f>LARGE((Table6234[[#This Row],[K1]:[Z4]]),5)</f>
        <v>0</v>
      </c>
      <c r="AD29" s="51">
        <f>LARGE((Table6234[[#This Row],[K1]:[Z4]]),6)</f>
        <v>0</v>
      </c>
      <c r="AE29" s="51">
        <f>LARGE((Table6234[[#This Row],[K1]:[Z4]]),7)</f>
        <v>0</v>
      </c>
      <c r="AF29" s="51">
        <f>LARGE((Table6234[[#This Row],[K1]:[Z4]]),8)</f>
        <v>0</v>
      </c>
      <c r="AG29" s="51">
        <f>LARGE((Table6234[[#This Row],[K1]:[Z4]]),9)</f>
        <v>0</v>
      </c>
      <c r="AH29" s="51">
        <f>LARGE((Table6234[[#This Row],[K1]:[Z4]]),10)</f>
        <v>0</v>
      </c>
      <c r="AI29" s="51">
        <f t="shared" si="0"/>
        <v>0</v>
      </c>
      <c r="AJ29" s="51">
        <f t="shared" si="1"/>
        <v>3</v>
      </c>
      <c r="AK29" s="11"/>
    </row>
    <row r="30" spans="1:37" ht="14.4" x14ac:dyDescent="0.3">
      <c r="A30" s="92">
        <v>27</v>
      </c>
      <c r="B30" s="51">
        <v>17</v>
      </c>
      <c r="C30" t="s">
        <v>493</v>
      </c>
      <c r="D30" s="52"/>
      <c r="E30" s="51" t="s">
        <v>44</v>
      </c>
      <c r="F30" s="30" t="s">
        <v>317</v>
      </c>
      <c r="G30" s="37">
        <v>0</v>
      </c>
      <c r="H30" s="51">
        <v>0</v>
      </c>
      <c r="I30" s="51">
        <v>0</v>
      </c>
      <c r="J30" s="51">
        <v>3</v>
      </c>
      <c r="K30" s="96">
        <f>SUM(Table6234[[#This Row],[SARMC 1]:[SARMC 4]])</f>
        <v>3</v>
      </c>
      <c r="L30" s="37">
        <v>0</v>
      </c>
      <c r="M30" s="51">
        <v>0</v>
      </c>
      <c r="N30" s="38">
        <v>0</v>
      </c>
      <c r="O30" s="37">
        <v>0</v>
      </c>
      <c r="P30" s="51">
        <v>0</v>
      </c>
      <c r="Q30" s="38">
        <v>0</v>
      </c>
      <c r="R30" s="37">
        <v>0</v>
      </c>
      <c r="S30" s="51">
        <v>0</v>
      </c>
      <c r="T30" s="38">
        <v>0</v>
      </c>
      <c r="U30" s="37">
        <v>0</v>
      </c>
      <c r="V30" s="51">
        <v>0</v>
      </c>
      <c r="W30" s="51">
        <v>0</v>
      </c>
      <c r="X30" s="38">
        <v>0</v>
      </c>
      <c r="Y30" s="51">
        <f>LARGE((Table6234[[#This Row],[K1]:[Z4]]),1)</f>
        <v>0</v>
      </c>
      <c r="Z30" s="51">
        <f>LARGE((Table6234[[#This Row],[K1]:[Z4]]),2)</f>
        <v>0</v>
      </c>
      <c r="AA30" s="51">
        <f>LARGE((Table6234[[#This Row],[K1]:[Z4]]),3)</f>
        <v>0</v>
      </c>
      <c r="AB30" s="51">
        <f>LARGE((Table6234[[#This Row],[K1]:[Z4]]),4)</f>
        <v>0</v>
      </c>
      <c r="AC30" s="51">
        <f>LARGE((Table6234[[#This Row],[K1]:[Z4]]),5)</f>
        <v>0</v>
      </c>
      <c r="AD30" s="51">
        <f>LARGE((Table6234[[#This Row],[K1]:[Z4]]),6)</f>
        <v>0</v>
      </c>
      <c r="AE30" s="51">
        <f>LARGE((Table6234[[#This Row],[K1]:[Z4]]),7)</f>
        <v>0</v>
      </c>
      <c r="AF30" s="51">
        <f>LARGE((Table6234[[#This Row],[K1]:[Z4]]),8)</f>
        <v>0</v>
      </c>
      <c r="AG30" s="51">
        <f>LARGE((Table6234[[#This Row],[K1]:[Z4]]),9)</f>
        <v>0</v>
      </c>
      <c r="AH30" s="51">
        <f>LARGE((Table6234[[#This Row],[K1]:[Z4]]),10)</f>
        <v>0</v>
      </c>
      <c r="AI30" s="51">
        <f t="shared" si="0"/>
        <v>0</v>
      </c>
      <c r="AJ30" s="51">
        <f t="shared" si="1"/>
        <v>3</v>
      </c>
      <c r="AK30" s="11"/>
    </row>
    <row r="31" spans="1:37" ht="14.4" x14ac:dyDescent="0.3">
      <c r="A31" s="92">
        <v>28</v>
      </c>
      <c r="B31" s="51">
        <v>30</v>
      </c>
      <c r="C31" t="s">
        <v>500</v>
      </c>
      <c r="D31" s="52">
        <v>44344</v>
      </c>
      <c r="E31" s="51" t="s">
        <v>36</v>
      </c>
      <c r="F31" s="30" t="s">
        <v>317</v>
      </c>
      <c r="G31" s="37">
        <v>0</v>
      </c>
      <c r="H31" s="51">
        <v>0</v>
      </c>
      <c r="I31" s="51">
        <v>0</v>
      </c>
      <c r="J31" s="51">
        <v>3</v>
      </c>
      <c r="K31" s="96">
        <v>3</v>
      </c>
      <c r="L31" s="37">
        <v>0</v>
      </c>
      <c r="M31" s="51">
        <v>0</v>
      </c>
      <c r="N31" s="38">
        <v>0</v>
      </c>
      <c r="O31" s="37">
        <v>0</v>
      </c>
      <c r="P31" s="51">
        <v>0</v>
      </c>
      <c r="Q31" s="38">
        <v>0</v>
      </c>
      <c r="R31" s="37">
        <v>0</v>
      </c>
      <c r="S31" s="51">
        <v>0</v>
      </c>
      <c r="T31" s="38">
        <v>0</v>
      </c>
      <c r="U31" s="37">
        <v>0</v>
      </c>
      <c r="V31" s="51">
        <v>0</v>
      </c>
      <c r="W31" s="51">
        <v>0</v>
      </c>
      <c r="X31" s="38">
        <v>0</v>
      </c>
      <c r="Y31" s="51">
        <f>LARGE((Table6234[[#This Row],[K1]:[Z4]]),1)</f>
        <v>0</v>
      </c>
      <c r="Z31" s="51">
        <f>LARGE((Table6234[[#This Row],[K1]:[Z4]]),2)</f>
        <v>0</v>
      </c>
      <c r="AA31" s="51">
        <f>LARGE((Table6234[[#This Row],[K1]:[Z4]]),3)</f>
        <v>0</v>
      </c>
      <c r="AB31" s="51">
        <f>LARGE((Table6234[[#This Row],[K1]:[Z4]]),4)</f>
        <v>0</v>
      </c>
      <c r="AC31" s="51">
        <f>LARGE((Table6234[[#This Row],[K1]:[Z4]]),5)</f>
        <v>0</v>
      </c>
      <c r="AD31" s="51">
        <f>LARGE((Table6234[[#This Row],[K1]:[Z4]]),6)</f>
        <v>0</v>
      </c>
      <c r="AE31" s="51">
        <f>LARGE((Table6234[[#This Row],[K1]:[Z4]]),7)</f>
        <v>0</v>
      </c>
      <c r="AF31" s="51">
        <f>LARGE((Table6234[[#This Row],[K1]:[Z4]]),8)</f>
        <v>0</v>
      </c>
      <c r="AG31" s="51">
        <f>LARGE((Table6234[[#This Row],[K1]:[Z4]]),9)</f>
        <v>0</v>
      </c>
      <c r="AH31" s="51">
        <f>LARGE((Table6234[[#This Row],[K1]:[Z4]]),10)</f>
        <v>0</v>
      </c>
      <c r="AI31" s="51">
        <f t="shared" si="0"/>
        <v>0</v>
      </c>
      <c r="AJ31" s="51">
        <f t="shared" si="1"/>
        <v>3</v>
      </c>
      <c r="AK31" s="11"/>
    </row>
    <row r="32" spans="1:37" ht="14.4" x14ac:dyDescent="0.3">
      <c r="A32" s="92">
        <v>29</v>
      </c>
      <c r="B32" s="51">
        <v>13</v>
      </c>
      <c r="C32" t="s">
        <v>501</v>
      </c>
      <c r="D32" s="52">
        <v>47890</v>
      </c>
      <c r="E32" s="51" t="s">
        <v>36</v>
      </c>
      <c r="F32" s="30" t="s">
        <v>317</v>
      </c>
      <c r="G32" s="37">
        <v>0</v>
      </c>
      <c r="H32" s="51">
        <v>0</v>
      </c>
      <c r="I32" s="51">
        <v>0</v>
      </c>
      <c r="J32" s="51">
        <v>3</v>
      </c>
      <c r="K32" s="96">
        <f>SUM(Table6234[[#This Row],[SARMC 1]:[SARMC 4]])</f>
        <v>3</v>
      </c>
      <c r="L32" s="37">
        <v>0</v>
      </c>
      <c r="M32" s="51">
        <v>0</v>
      </c>
      <c r="N32" s="38">
        <v>0</v>
      </c>
      <c r="O32" s="37">
        <v>0</v>
      </c>
      <c r="P32" s="51">
        <v>0</v>
      </c>
      <c r="Q32" s="38">
        <v>0</v>
      </c>
      <c r="R32" s="37">
        <v>0</v>
      </c>
      <c r="S32" s="51">
        <v>0</v>
      </c>
      <c r="T32" s="38">
        <v>0</v>
      </c>
      <c r="U32" s="37">
        <v>0</v>
      </c>
      <c r="V32" s="51">
        <v>0</v>
      </c>
      <c r="W32" s="51">
        <v>0</v>
      </c>
      <c r="X32" s="38">
        <v>0</v>
      </c>
      <c r="Y32" s="51">
        <f>LARGE((Table6234[[#This Row],[K1]:[Z4]]),1)</f>
        <v>0</v>
      </c>
      <c r="Z32" s="51">
        <f>LARGE((Table6234[[#This Row],[K1]:[Z4]]),2)</f>
        <v>0</v>
      </c>
      <c r="AA32" s="51">
        <f>LARGE((Table6234[[#This Row],[K1]:[Z4]]),3)</f>
        <v>0</v>
      </c>
      <c r="AB32" s="51">
        <f>LARGE((Table6234[[#This Row],[K1]:[Z4]]),4)</f>
        <v>0</v>
      </c>
      <c r="AC32" s="51">
        <f>LARGE((Table6234[[#This Row],[K1]:[Z4]]),5)</f>
        <v>0</v>
      </c>
      <c r="AD32" s="51">
        <f>LARGE((Table6234[[#This Row],[K1]:[Z4]]),6)</f>
        <v>0</v>
      </c>
      <c r="AE32" s="51">
        <f>LARGE((Table6234[[#This Row],[K1]:[Z4]]),7)</f>
        <v>0</v>
      </c>
      <c r="AF32" s="51">
        <f>LARGE((Table6234[[#This Row],[K1]:[Z4]]),8)</f>
        <v>0</v>
      </c>
      <c r="AG32" s="51">
        <f>LARGE((Table6234[[#This Row],[K1]:[Z4]]),9)</f>
        <v>0</v>
      </c>
      <c r="AH32" s="51">
        <f>LARGE((Table6234[[#This Row],[K1]:[Z4]]),10)</f>
        <v>0</v>
      </c>
      <c r="AI32" s="51">
        <f t="shared" si="0"/>
        <v>0</v>
      </c>
      <c r="AJ32" s="51">
        <f t="shared" si="1"/>
        <v>3</v>
      </c>
      <c r="AK32" s="11"/>
    </row>
    <row r="33" spans="1:37" ht="14.4" hidden="1" x14ac:dyDescent="0.3">
      <c r="A33" s="92">
        <v>30</v>
      </c>
      <c r="B33" s="51"/>
      <c r="C33">
        <f>_xlfn.XLOOKUP(Table6234[[#This Row],[No.]],Sheet2!B:B,Sheet2!C:C)</f>
        <v>0</v>
      </c>
      <c r="D33" s="52">
        <f>_xlfn.XLOOKUP(Table6234[[#This Row],[No.]],Sheet2!B:B,Sheet2!G:G)</f>
        <v>0</v>
      </c>
      <c r="E33" s="51">
        <f>_xlfn.XLOOKUP(Table6234[[#This Row],[No.]],Sheet2!B:B,Sheet2!H:H)</f>
        <v>0</v>
      </c>
      <c r="F33" s="30">
        <f>_xlfn.XLOOKUP(Table6234[[#This Row],[No.]],Sheet2!B:B,Sheet2!D:D)</f>
        <v>0</v>
      </c>
      <c r="G33" s="37">
        <v>0</v>
      </c>
      <c r="H33" s="51">
        <v>0</v>
      </c>
      <c r="I33" s="51">
        <v>0</v>
      </c>
      <c r="J33" s="51">
        <v>0</v>
      </c>
      <c r="K33" s="96">
        <f>SUM(Table6234[[#This Row],[SARMC 1]:[SARMC 4]])</f>
        <v>0</v>
      </c>
      <c r="L33" s="37">
        <v>0</v>
      </c>
      <c r="M33" s="51">
        <v>0</v>
      </c>
      <c r="N33" s="38">
        <v>0</v>
      </c>
      <c r="O33" s="37">
        <v>0</v>
      </c>
      <c r="P33" s="51">
        <v>0</v>
      </c>
      <c r="Q33" s="38">
        <v>0</v>
      </c>
      <c r="R33" s="37">
        <v>0</v>
      </c>
      <c r="S33" s="51">
        <v>0</v>
      </c>
      <c r="T33" s="38">
        <v>0</v>
      </c>
      <c r="U33" s="37">
        <v>0</v>
      </c>
      <c r="V33" s="51">
        <v>0</v>
      </c>
      <c r="W33" s="51">
        <v>0</v>
      </c>
      <c r="X33" s="38">
        <v>0</v>
      </c>
      <c r="Y33" s="51">
        <f>LARGE((Table6234[[#This Row],[K1]:[Z4]]),1)</f>
        <v>0</v>
      </c>
      <c r="Z33" s="51">
        <f>LARGE((Table6234[[#This Row],[K1]:[Z4]]),2)</f>
        <v>0</v>
      </c>
      <c r="AA33" s="51">
        <f>LARGE((Table6234[[#This Row],[K1]:[Z4]]),3)</f>
        <v>0</v>
      </c>
      <c r="AB33" s="51">
        <f>LARGE((Table6234[[#This Row],[K1]:[Z4]]),4)</f>
        <v>0</v>
      </c>
      <c r="AC33" s="51">
        <f>LARGE((Table6234[[#This Row],[K1]:[Z4]]),5)</f>
        <v>0</v>
      </c>
      <c r="AD33" s="51">
        <f>LARGE((Table6234[[#This Row],[K1]:[Z4]]),6)</f>
        <v>0</v>
      </c>
      <c r="AE33" s="51">
        <f>LARGE((Table6234[[#This Row],[K1]:[Z4]]),7)</f>
        <v>0</v>
      </c>
      <c r="AF33" s="51">
        <f>LARGE((Table6234[[#This Row],[K1]:[Z4]]),8)</f>
        <v>0</v>
      </c>
      <c r="AG33" s="51">
        <f>LARGE((Table6234[[#This Row],[K1]:[Z4]]),9)</f>
        <v>0</v>
      </c>
      <c r="AH33" s="51">
        <f>LARGE((Table6234[[#This Row],[K1]:[Z4]]),10)</f>
        <v>0</v>
      </c>
      <c r="AI33" s="51">
        <f t="shared" si="0"/>
        <v>0</v>
      </c>
      <c r="AJ33" s="51">
        <f t="shared" si="1"/>
        <v>0</v>
      </c>
      <c r="AK33" s="11"/>
    </row>
    <row r="34" spans="1:37" ht="14.4" hidden="1" x14ac:dyDescent="0.3">
      <c r="A34" s="92">
        <v>31</v>
      </c>
      <c r="B34" s="51"/>
      <c r="C34">
        <f>_xlfn.XLOOKUP(Table6234[[#This Row],[No.]],Sheet2!B:B,Sheet2!C:C)</f>
        <v>0</v>
      </c>
      <c r="D34" s="52">
        <f>_xlfn.XLOOKUP(Table6234[[#This Row],[No.]],Sheet2!B:B,Sheet2!G:G)</f>
        <v>0</v>
      </c>
      <c r="E34" s="51">
        <f>_xlfn.XLOOKUP(Table6234[[#This Row],[No.]],Sheet2!B:B,Sheet2!H:H)</f>
        <v>0</v>
      </c>
      <c r="F34" s="30">
        <f>_xlfn.XLOOKUP(Table6234[[#This Row],[No.]],Sheet2!B:B,Sheet2!D:D)</f>
        <v>0</v>
      </c>
      <c r="G34" s="37">
        <v>0</v>
      </c>
      <c r="H34" s="51">
        <v>0</v>
      </c>
      <c r="I34" s="51">
        <v>0</v>
      </c>
      <c r="J34" s="51">
        <v>0</v>
      </c>
      <c r="K34" s="96">
        <f>SUM(Table6234[[#This Row],[SARMC 1]:[SARMC 4]])</f>
        <v>0</v>
      </c>
      <c r="L34" s="37">
        <v>0</v>
      </c>
      <c r="M34" s="51">
        <v>0</v>
      </c>
      <c r="N34" s="38">
        <v>0</v>
      </c>
      <c r="O34" s="37">
        <v>0</v>
      </c>
      <c r="P34" s="51">
        <v>0</v>
      </c>
      <c r="Q34" s="38">
        <v>0</v>
      </c>
      <c r="R34" s="37">
        <v>0</v>
      </c>
      <c r="S34" s="51">
        <v>0</v>
      </c>
      <c r="T34" s="38">
        <v>0</v>
      </c>
      <c r="U34" s="37">
        <v>0</v>
      </c>
      <c r="V34" s="51">
        <v>0</v>
      </c>
      <c r="W34" s="51">
        <v>0</v>
      </c>
      <c r="X34" s="38">
        <v>0</v>
      </c>
      <c r="Y34" s="51">
        <f>LARGE((Table6234[[#This Row],[K1]:[Z4]]),1)</f>
        <v>0</v>
      </c>
      <c r="Z34" s="51">
        <f>LARGE((Table6234[[#This Row],[K1]:[Z4]]),2)</f>
        <v>0</v>
      </c>
      <c r="AA34" s="51">
        <f>LARGE((Table6234[[#This Row],[K1]:[Z4]]),3)</f>
        <v>0</v>
      </c>
      <c r="AB34" s="51">
        <f>LARGE((Table6234[[#This Row],[K1]:[Z4]]),4)</f>
        <v>0</v>
      </c>
      <c r="AC34" s="51">
        <f>LARGE((Table6234[[#This Row],[K1]:[Z4]]),5)</f>
        <v>0</v>
      </c>
      <c r="AD34" s="51">
        <f>LARGE((Table6234[[#This Row],[K1]:[Z4]]),6)</f>
        <v>0</v>
      </c>
      <c r="AE34" s="51">
        <f>LARGE((Table6234[[#This Row],[K1]:[Z4]]),7)</f>
        <v>0</v>
      </c>
      <c r="AF34" s="51">
        <f>LARGE((Table6234[[#This Row],[K1]:[Z4]]),8)</f>
        <v>0</v>
      </c>
      <c r="AG34" s="51">
        <f>LARGE((Table6234[[#This Row],[K1]:[Z4]]),9)</f>
        <v>0</v>
      </c>
      <c r="AH34" s="51">
        <f>LARGE((Table6234[[#This Row],[K1]:[Z4]]),10)</f>
        <v>0</v>
      </c>
      <c r="AI34" s="51">
        <f t="shared" si="0"/>
        <v>0</v>
      </c>
      <c r="AJ34" s="51">
        <f t="shared" si="1"/>
        <v>0</v>
      </c>
      <c r="AK34" s="11"/>
    </row>
    <row r="35" spans="1:37" ht="14.4" hidden="1" x14ac:dyDescent="0.3">
      <c r="A35" s="92">
        <v>32</v>
      </c>
      <c r="B35" s="51"/>
      <c r="C35">
        <f>_xlfn.XLOOKUP(Table6234[[#This Row],[No.]],Sheet2!B:B,Sheet2!C:C)</f>
        <v>0</v>
      </c>
      <c r="D35" s="52">
        <f>_xlfn.XLOOKUP(Table6234[[#This Row],[No.]],Sheet2!B:B,Sheet2!G:G)</f>
        <v>0</v>
      </c>
      <c r="E35" s="51">
        <f>_xlfn.XLOOKUP(Table6234[[#This Row],[No.]],Sheet2!B:B,Sheet2!H:H)</f>
        <v>0</v>
      </c>
      <c r="F35" s="30">
        <f>_xlfn.XLOOKUP(Table6234[[#This Row],[No.]],Sheet2!B:B,Sheet2!D:D)</f>
        <v>0</v>
      </c>
      <c r="G35" s="37">
        <v>0</v>
      </c>
      <c r="H35" s="51">
        <v>0</v>
      </c>
      <c r="I35" s="51">
        <v>0</v>
      </c>
      <c r="J35" s="51">
        <v>0</v>
      </c>
      <c r="K35" s="96">
        <f>SUM(Table6234[[#This Row],[SARMC 1]:[SARMC 4]])</f>
        <v>0</v>
      </c>
      <c r="L35" s="37">
        <v>0</v>
      </c>
      <c r="M35" s="51">
        <v>0</v>
      </c>
      <c r="N35" s="38">
        <v>0</v>
      </c>
      <c r="O35" s="37">
        <v>0</v>
      </c>
      <c r="P35" s="51">
        <v>0</v>
      </c>
      <c r="Q35" s="38">
        <v>0</v>
      </c>
      <c r="R35" s="37">
        <v>0</v>
      </c>
      <c r="S35" s="51">
        <v>0</v>
      </c>
      <c r="T35" s="38">
        <v>0</v>
      </c>
      <c r="U35" s="37">
        <v>0</v>
      </c>
      <c r="V35" s="51">
        <v>0</v>
      </c>
      <c r="W35" s="51">
        <v>0</v>
      </c>
      <c r="X35" s="38">
        <v>0</v>
      </c>
      <c r="Y35" s="51">
        <f>LARGE((Table6234[[#This Row],[K1]:[Z4]]),1)</f>
        <v>0</v>
      </c>
      <c r="Z35" s="51">
        <f>LARGE((Table6234[[#This Row],[K1]:[Z4]]),2)</f>
        <v>0</v>
      </c>
      <c r="AA35" s="51">
        <f>LARGE((Table6234[[#This Row],[K1]:[Z4]]),3)</f>
        <v>0</v>
      </c>
      <c r="AB35" s="51">
        <f>LARGE((Table6234[[#This Row],[K1]:[Z4]]),4)</f>
        <v>0</v>
      </c>
      <c r="AC35" s="51">
        <f>LARGE((Table6234[[#This Row],[K1]:[Z4]]),5)</f>
        <v>0</v>
      </c>
      <c r="AD35" s="51">
        <f>LARGE((Table6234[[#This Row],[K1]:[Z4]]),6)</f>
        <v>0</v>
      </c>
      <c r="AE35" s="51">
        <f>LARGE((Table6234[[#This Row],[K1]:[Z4]]),7)</f>
        <v>0</v>
      </c>
      <c r="AF35" s="51">
        <f>LARGE((Table6234[[#This Row],[K1]:[Z4]]),8)</f>
        <v>0</v>
      </c>
      <c r="AG35" s="51">
        <f>LARGE((Table6234[[#This Row],[K1]:[Z4]]),9)</f>
        <v>0</v>
      </c>
      <c r="AH35" s="51">
        <f>LARGE((Table6234[[#This Row],[K1]:[Z4]]),10)</f>
        <v>0</v>
      </c>
      <c r="AI35" s="51">
        <f t="shared" si="0"/>
        <v>0</v>
      </c>
      <c r="AJ35" s="51">
        <f t="shared" si="1"/>
        <v>0</v>
      </c>
      <c r="AK35" s="11"/>
    </row>
    <row r="36" spans="1:37" ht="14.4" hidden="1" x14ac:dyDescent="0.3">
      <c r="A36" s="92">
        <v>33</v>
      </c>
      <c r="B36" s="51"/>
      <c r="C36">
        <f>_xlfn.XLOOKUP(Table6234[[#This Row],[No.]],Sheet2!B:B,Sheet2!C:C)</f>
        <v>0</v>
      </c>
      <c r="D36" s="52">
        <f>_xlfn.XLOOKUP(Table6234[[#This Row],[No.]],Sheet2!B:B,Sheet2!G:G)</f>
        <v>0</v>
      </c>
      <c r="E36" s="51">
        <f>_xlfn.XLOOKUP(Table6234[[#This Row],[No.]],Sheet2!B:B,Sheet2!H:H)</f>
        <v>0</v>
      </c>
      <c r="F36" s="30">
        <f>_xlfn.XLOOKUP(Table6234[[#This Row],[No.]],Sheet2!B:B,Sheet2!D:D)</f>
        <v>0</v>
      </c>
      <c r="G36" s="37">
        <v>0</v>
      </c>
      <c r="H36" s="51">
        <v>0</v>
      </c>
      <c r="I36" s="51">
        <v>0</v>
      </c>
      <c r="J36" s="51">
        <v>0</v>
      </c>
      <c r="K36" s="96">
        <f>SUM(Table6234[[#This Row],[SARMC 1]:[SARMC 4]])</f>
        <v>0</v>
      </c>
      <c r="L36" s="37">
        <v>0</v>
      </c>
      <c r="M36" s="51">
        <v>0</v>
      </c>
      <c r="N36" s="38">
        <v>0</v>
      </c>
      <c r="O36" s="37">
        <v>0</v>
      </c>
      <c r="P36" s="51">
        <v>0</v>
      </c>
      <c r="Q36" s="38">
        <v>0</v>
      </c>
      <c r="R36" s="37">
        <v>0</v>
      </c>
      <c r="S36" s="51">
        <v>0</v>
      </c>
      <c r="T36" s="38">
        <v>0</v>
      </c>
      <c r="U36" s="37">
        <v>0</v>
      </c>
      <c r="V36" s="51">
        <v>0</v>
      </c>
      <c r="W36" s="51">
        <v>0</v>
      </c>
      <c r="X36" s="38">
        <v>0</v>
      </c>
      <c r="Y36" s="51">
        <f>LARGE((Table6234[[#This Row],[K1]:[Z4]]),1)</f>
        <v>0</v>
      </c>
      <c r="Z36" s="51">
        <f>LARGE((Table6234[[#This Row],[K1]:[Z4]]),2)</f>
        <v>0</v>
      </c>
      <c r="AA36" s="51">
        <f>LARGE((Table6234[[#This Row],[K1]:[Z4]]),3)</f>
        <v>0</v>
      </c>
      <c r="AB36" s="51">
        <f>LARGE((Table6234[[#This Row],[K1]:[Z4]]),4)</f>
        <v>0</v>
      </c>
      <c r="AC36" s="51">
        <f>LARGE((Table6234[[#This Row],[K1]:[Z4]]),5)</f>
        <v>0</v>
      </c>
      <c r="AD36" s="51">
        <f>LARGE((Table6234[[#This Row],[K1]:[Z4]]),6)</f>
        <v>0</v>
      </c>
      <c r="AE36" s="51">
        <f>LARGE((Table6234[[#This Row],[K1]:[Z4]]),7)</f>
        <v>0</v>
      </c>
      <c r="AF36" s="51">
        <f>LARGE((Table6234[[#This Row],[K1]:[Z4]]),8)</f>
        <v>0</v>
      </c>
      <c r="AG36" s="51">
        <f>LARGE((Table6234[[#This Row],[K1]:[Z4]]),9)</f>
        <v>0</v>
      </c>
      <c r="AH36" s="51">
        <f>LARGE((Table6234[[#This Row],[K1]:[Z4]]),10)</f>
        <v>0</v>
      </c>
      <c r="AI36" s="51">
        <f t="shared" si="0"/>
        <v>0</v>
      </c>
      <c r="AJ36" s="51">
        <f t="shared" si="1"/>
        <v>0</v>
      </c>
      <c r="AK36" s="11"/>
    </row>
    <row r="37" spans="1:37" ht="14.4" hidden="1" x14ac:dyDescent="0.3">
      <c r="A37" s="92">
        <v>34</v>
      </c>
      <c r="B37" s="51"/>
      <c r="C37">
        <f>_xlfn.XLOOKUP(Table6234[[#This Row],[No.]],Sheet2!B:B,Sheet2!C:C)</f>
        <v>0</v>
      </c>
      <c r="D37" s="52">
        <f>_xlfn.XLOOKUP(Table6234[[#This Row],[No.]],Sheet2!B:B,Sheet2!G:G)</f>
        <v>0</v>
      </c>
      <c r="E37" s="51">
        <f>_xlfn.XLOOKUP(Table6234[[#This Row],[No.]],Sheet2!B:B,Sheet2!H:H)</f>
        <v>0</v>
      </c>
      <c r="F37" s="30">
        <f>_xlfn.XLOOKUP(Table6234[[#This Row],[No.]],Sheet2!B:B,Sheet2!D:D)</f>
        <v>0</v>
      </c>
      <c r="G37" s="37">
        <v>0</v>
      </c>
      <c r="H37" s="51">
        <v>0</v>
      </c>
      <c r="I37" s="51">
        <v>0</v>
      </c>
      <c r="J37" s="51">
        <v>0</v>
      </c>
      <c r="K37" s="96">
        <f>SUM(Table6234[[#This Row],[SARMC 1]:[SARMC 4]])</f>
        <v>0</v>
      </c>
      <c r="L37" s="37">
        <v>0</v>
      </c>
      <c r="M37" s="51">
        <v>0</v>
      </c>
      <c r="N37" s="38">
        <v>0</v>
      </c>
      <c r="O37" s="37">
        <v>0</v>
      </c>
      <c r="P37" s="51">
        <v>0</v>
      </c>
      <c r="Q37" s="38">
        <v>0</v>
      </c>
      <c r="R37" s="37">
        <v>0</v>
      </c>
      <c r="S37" s="51">
        <v>0</v>
      </c>
      <c r="T37" s="38">
        <v>0</v>
      </c>
      <c r="U37" s="37">
        <v>0</v>
      </c>
      <c r="V37" s="51">
        <v>0</v>
      </c>
      <c r="W37" s="51">
        <v>0</v>
      </c>
      <c r="X37" s="38">
        <v>0</v>
      </c>
      <c r="Y37" s="51">
        <f>LARGE((Table6234[[#This Row],[K1]:[Z4]]),1)</f>
        <v>0</v>
      </c>
      <c r="Z37" s="51">
        <f>LARGE((Table6234[[#This Row],[K1]:[Z4]]),2)</f>
        <v>0</v>
      </c>
      <c r="AA37" s="51">
        <f>LARGE((Table6234[[#This Row],[K1]:[Z4]]),3)</f>
        <v>0</v>
      </c>
      <c r="AB37" s="51">
        <f>LARGE((Table6234[[#This Row],[K1]:[Z4]]),4)</f>
        <v>0</v>
      </c>
      <c r="AC37" s="51">
        <f>LARGE((Table6234[[#This Row],[K1]:[Z4]]),5)</f>
        <v>0</v>
      </c>
      <c r="AD37" s="51">
        <f>LARGE((Table6234[[#This Row],[K1]:[Z4]]),6)</f>
        <v>0</v>
      </c>
      <c r="AE37" s="51">
        <f>LARGE((Table6234[[#This Row],[K1]:[Z4]]),7)</f>
        <v>0</v>
      </c>
      <c r="AF37" s="51">
        <f>LARGE((Table6234[[#This Row],[K1]:[Z4]]),8)</f>
        <v>0</v>
      </c>
      <c r="AG37" s="51">
        <f>LARGE((Table6234[[#This Row],[K1]:[Z4]]),9)</f>
        <v>0</v>
      </c>
      <c r="AH37" s="51">
        <f>LARGE((Table6234[[#This Row],[K1]:[Z4]]),10)</f>
        <v>0</v>
      </c>
      <c r="AI37" s="51">
        <f t="shared" si="0"/>
        <v>0</v>
      </c>
      <c r="AJ37" s="51">
        <f t="shared" si="1"/>
        <v>0</v>
      </c>
      <c r="AK37" s="11"/>
    </row>
    <row r="38" spans="1:37" ht="15" hidden="1" thickBot="1" x14ac:dyDescent="0.35">
      <c r="A38" s="92">
        <v>35</v>
      </c>
      <c r="B38" s="93"/>
      <c r="C38" s="83">
        <f>_xlfn.XLOOKUP(Table6234[[#This Row],[No.]],Sheet2!B:B,Sheet2!C:C)</f>
        <v>0</v>
      </c>
      <c r="D38" s="94">
        <f>_xlfn.XLOOKUP(Table6234[[#This Row],[No.]],Sheet2!B:B,Sheet2!G:G)</f>
        <v>0</v>
      </c>
      <c r="E38" s="93">
        <f>_xlfn.XLOOKUP(Table6234[[#This Row],[No.]],Sheet2!B:B,Sheet2!H:H)</f>
        <v>0</v>
      </c>
      <c r="F38" s="95">
        <f>_xlfn.XLOOKUP(Table6234[[#This Row],[No.]],Sheet2!B:B,Sheet2!D:D)</f>
        <v>0</v>
      </c>
      <c r="G38" s="97">
        <v>0</v>
      </c>
      <c r="H38" s="93">
        <v>0</v>
      </c>
      <c r="I38" s="93">
        <v>0</v>
      </c>
      <c r="J38" s="93">
        <v>0</v>
      </c>
      <c r="K38" s="98">
        <f>SUM(Table6234[[#This Row],[SARMC 1]:[SARMC 4]])</f>
        <v>0</v>
      </c>
      <c r="L38" s="97">
        <v>0</v>
      </c>
      <c r="M38" s="93">
        <v>0</v>
      </c>
      <c r="N38" s="99">
        <v>0</v>
      </c>
      <c r="O38" s="97">
        <v>0</v>
      </c>
      <c r="P38" s="93">
        <v>0</v>
      </c>
      <c r="Q38" s="99">
        <v>0</v>
      </c>
      <c r="R38" s="97">
        <v>0</v>
      </c>
      <c r="S38" s="93">
        <v>0</v>
      </c>
      <c r="T38" s="99">
        <v>0</v>
      </c>
      <c r="U38" s="97">
        <v>0</v>
      </c>
      <c r="V38" s="93">
        <v>0</v>
      </c>
      <c r="W38" s="93">
        <v>0</v>
      </c>
      <c r="X38" s="99">
        <v>0</v>
      </c>
      <c r="Y38" s="51">
        <f>LARGE((Table6234[[#This Row],[K1]:[Z4]]),1)</f>
        <v>0</v>
      </c>
      <c r="Z38" s="51">
        <f>LARGE((Table6234[[#This Row],[K1]:[Z4]]),2)</f>
        <v>0</v>
      </c>
      <c r="AA38" s="51">
        <f>LARGE((Table6234[[#This Row],[K1]:[Z4]]),3)</f>
        <v>0</v>
      </c>
      <c r="AB38" s="51">
        <f>LARGE((Table6234[[#This Row],[K1]:[Z4]]),4)</f>
        <v>0</v>
      </c>
      <c r="AC38" s="51">
        <f>LARGE((Table6234[[#This Row],[K1]:[Z4]]),5)</f>
        <v>0</v>
      </c>
      <c r="AD38" s="51">
        <f>LARGE((Table6234[[#This Row],[K1]:[Z4]]),6)</f>
        <v>0</v>
      </c>
      <c r="AE38" s="51">
        <f>LARGE((Table6234[[#This Row],[K1]:[Z4]]),7)</f>
        <v>0</v>
      </c>
      <c r="AF38" s="51">
        <f>LARGE((Table6234[[#This Row],[K1]:[Z4]]),8)</f>
        <v>0</v>
      </c>
      <c r="AG38" s="51">
        <f>LARGE((Table6234[[#This Row],[K1]:[Z4]]),9)</f>
        <v>0</v>
      </c>
      <c r="AH38" s="51">
        <f>LARGE((Table6234[[#This Row],[K1]:[Z4]]),10)</f>
        <v>0</v>
      </c>
      <c r="AI38" s="51">
        <f t="shared" si="0"/>
        <v>0</v>
      </c>
      <c r="AJ38" s="51">
        <f t="shared" si="1"/>
        <v>0</v>
      </c>
      <c r="AK38" s="11"/>
    </row>
    <row r="39" spans="1:37" x14ac:dyDescent="0.25">
      <c r="A39" s="22"/>
      <c r="B39" s="23"/>
      <c r="C39" s="24" t="s">
        <v>45</v>
      </c>
      <c r="D39" s="31"/>
      <c r="E39" s="25"/>
      <c r="F39" s="32"/>
      <c r="G39" s="23"/>
      <c r="H39" s="23"/>
      <c r="I39" s="23"/>
      <c r="J39" s="23"/>
      <c r="K39" s="27"/>
      <c r="L39" s="22"/>
      <c r="M39" s="22">
        <f>(COUNTIF(L4:L38,"&gt;0"))</f>
        <v>9</v>
      </c>
      <c r="N39" s="22"/>
      <c r="O39" s="22"/>
      <c r="P39" s="22">
        <f>(COUNTIF(O4:O38,"&gt;0"))</f>
        <v>11</v>
      </c>
      <c r="Q39" s="22"/>
      <c r="R39" s="22"/>
      <c r="S39" s="22">
        <f>(COUNTIF(R4:R38,"&gt;0"))</f>
        <v>15</v>
      </c>
      <c r="T39" s="22"/>
      <c r="U39" s="23"/>
      <c r="V39" s="22">
        <f>(COUNTIF(U4:U38,"&gt;0"))</f>
        <v>11</v>
      </c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6"/>
      <c r="AJ39" s="27"/>
    </row>
    <row r="40" spans="1:37" x14ac:dyDescent="0.25">
      <c r="D40" s="33"/>
    </row>
  </sheetData>
  <sortState xmlns:xlrd2="http://schemas.microsoft.com/office/spreadsheetml/2017/richdata2" ref="B4:AY32">
    <sortCondition descending="1" ref="AY4:AY32"/>
    <sortCondition ref="E4:E32"/>
    <sortCondition ref="B4:B32"/>
  </sortState>
  <mergeCells count="8">
    <mergeCell ref="A2:F2"/>
    <mergeCell ref="A1:AJ1"/>
    <mergeCell ref="G2:K2"/>
    <mergeCell ref="L2:N2"/>
    <mergeCell ref="O2:Q2"/>
    <mergeCell ref="R2:T2"/>
    <mergeCell ref="U2:X2"/>
    <mergeCell ref="Y2:AH2"/>
  </mergeCells>
  <conditionalFormatting sqref="B1">
    <cfRule type="duplicateValues" dxfId="73" priority="2"/>
    <cfRule type="duplicateValues" dxfId="72" priority="3"/>
    <cfRule type="duplicateValues" dxfId="71" priority="4"/>
  </conditionalFormatting>
  <conditionalFormatting sqref="B1:B1048576">
    <cfRule type="duplicateValues" dxfId="70" priority="1"/>
  </conditionalFormatting>
  <conditionalFormatting sqref="B39:B1048576 B2">
    <cfRule type="duplicateValues" dxfId="69" priority="5"/>
    <cfRule type="duplicateValues" dxfId="68" priority="6"/>
    <cfRule type="duplicateValues" dxfId="67" priority="8"/>
  </conditionalFormatting>
  <pageMargins left="0.23622047244094491" right="0.23622047244094491" top="0.31496062992125984" bottom="0.31496062992125984" header="0.31496062992125984" footer="0.31496062992125984"/>
  <pageSetup scale="78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45"/>
  <sheetViews>
    <sheetView zoomScaleNormal="100" workbookViewId="0">
      <pane xSplit="6" topLeftCell="G1" activePane="topRight" state="frozen"/>
      <selection pane="topRight" activeCell="A2" sqref="A2:F2"/>
    </sheetView>
  </sheetViews>
  <sheetFormatPr defaultColWidth="3.6640625" defaultRowHeight="13.8" x14ac:dyDescent="0.25"/>
  <cols>
    <col min="1" max="1" width="5" style="12" bestFit="1" customWidth="1"/>
    <col min="2" max="2" width="4.44140625" style="10" bestFit="1" customWidth="1"/>
    <col min="3" max="3" width="28.6640625" style="10" bestFit="1" customWidth="1"/>
    <col min="4" max="4" width="10.6640625" style="34" customWidth="1"/>
    <col min="5" max="5" width="8.33203125" style="12" customWidth="1"/>
    <col min="6" max="6" width="12.6640625" style="34" customWidth="1"/>
    <col min="7" max="10" width="4" style="10" customWidth="1"/>
    <col min="11" max="11" width="4" style="14" customWidth="1"/>
    <col min="12" max="14" width="4" style="12" customWidth="1"/>
    <col min="15" max="34" width="4" style="10" customWidth="1"/>
    <col min="35" max="35" width="7.109375" style="13" bestFit="1" customWidth="1"/>
    <col min="36" max="36" width="6.44140625" style="14" bestFit="1" customWidth="1"/>
    <col min="37" max="37" width="6.5546875" style="10" bestFit="1" customWidth="1"/>
    <col min="38" max="16384" width="3.6640625" style="10"/>
  </cols>
  <sheetData>
    <row r="1" spans="1:37" s="9" customFormat="1" ht="78.75" customHeight="1" thickBot="1" x14ac:dyDescent="0.35">
      <c r="A1" s="100" t="e" vm="1">
        <v>#VALUE!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2"/>
    </row>
    <row r="2" spans="1:37" ht="25.5" customHeight="1" x14ac:dyDescent="0.25">
      <c r="A2" s="103" t="e" vm="3">
        <v>#VALUE!</v>
      </c>
      <c r="B2" s="104"/>
      <c r="C2" s="104"/>
      <c r="D2" s="104"/>
      <c r="E2" s="104"/>
      <c r="F2" s="104"/>
      <c r="G2" s="110" t="s">
        <v>0</v>
      </c>
      <c r="H2" s="111"/>
      <c r="I2" s="111"/>
      <c r="J2" s="111"/>
      <c r="K2" s="112"/>
      <c r="L2" s="105" t="s">
        <v>1</v>
      </c>
      <c r="M2" s="106"/>
      <c r="N2" s="107"/>
      <c r="O2" s="105" t="s">
        <v>55</v>
      </c>
      <c r="P2" s="106"/>
      <c r="Q2" s="107"/>
      <c r="R2" s="105" t="s">
        <v>466</v>
      </c>
      <c r="S2" s="106"/>
      <c r="T2" s="107"/>
      <c r="U2" s="105" t="s">
        <v>3</v>
      </c>
      <c r="V2" s="108"/>
      <c r="W2" s="108"/>
      <c r="X2" s="109"/>
      <c r="Y2" s="105" t="s">
        <v>4</v>
      </c>
      <c r="Z2" s="108"/>
      <c r="AA2" s="108"/>
      <c r="AB2" s="108"/>
      <c r="AC2" s="108"/>
      <c r="AD2" s="108"/>
      <c r="AE2" s="108"/>
      <c r="AF2" s="108"/>
      <c r="AG2" s="108"/>
      <c r="AH2" s="109"/>
      <c r="AI2" s="54" t="s">
        <v>5</v>
      </c>
      <c r="AJ2" s="55" t="s">
        <v>6</v>
      </c>
    </row>
    <row r="3" spans="1:37" ht="68.400000000000006" thickBot="1" x14ac:dyDescent="0.3">
      <c r="A3" s="56" t="s">
        <v>7</v>
      </c>
      <c r="B3" s="35" t="s">
        <v>8</v>
      </c>
      <c r="C3" s="21" t="s">
        <v>9</v>
      </c>
      <c r="D3" s="28" t="s">
        <v>10</v>
      </c>
      <c r="E3" s="36" t="s">
        <v>11</v>
      </c>
      <c r="F3" s="29" t="s">
        <v>12</v>
      </c>
      <c r="G3" s="39" t="s">
        <v>13</v>
      </c>
      <c r="H3" s="40" t="s">
        <v>14</v>
      </c>
      <c r="I3" s="41" t="s">
        <v>15</v>
      </c>
      <c r="J3" s="50" t="s">
        <v>16</v>
      </c>
      <c r="K3" s="57" t="s">
        <v>17</v>
      </c>
      <c r="L3" s="39" t="s">
        <v>18</v>
      </c>
      <c r="M3" s="41" t="s">
        <v>19</v>
      </c>
      <c r="N3" s="42" t="s">
        <v>20</v>
      </c>
      <c r="O3" s="18" t="s">
        <v>438</v>
      </c>
      <c r="P3" s="16" t="s">
        <v>439</v>
      </c>
      <c r="Q3" s="19" t="s">
        <v>440</v>
      </c>
      <c r="R3" s="18" t="s">
        <v>21</v>
      </c>
      <c r="S3" s="16" t="s">
        <v>22</v>
      </c>
      <c r="T3" s="19" t="s">
        <v>23</v>
      </c>
      <c r="U3" s="70" t="s">
        <v>441</v>
      </c>
      <c r="V3" s="71" t="s">
        <v>442</v>
      </c>
      <c r="W3" s="71" t="s">
        <v>443</v>
      </c>
      <c r="X3" s="17" t="s">
        <v>24</v>
      </c>
      <c r="Y3" s="43" t="s">
        <v>25</v>
      </c>
      <c r="Z3" s="35" t="s">
        <v>26</v>
      </c>
      <c r="AA3" s="35" t="s">
        <v>27</v>
      </c>
      <c r="AB3" s="35" t="s">
        <v>28</v>
      </c>
      <c r="AC3" s="35" t="s">
        <v>29</v>
      </c>
      <c r="AD3" s="35" t="s">
        <v>30</v>
      </c>
      <c r="AE3" s="35" t="s">
        <v>31</v>
      </c>
      <c r="AF3" s="35" t="s">
        <v>32</v>
      </c>
      <c r="AG3" s="35" t="s">
        <v>33</v>
      </c>
      <c r="AH3" s="44" t="s">
        <v>34</v>
      </c>
      <c r="AI3" s="20" t="s">
        <v>35</v>
      </c>
      <c r="AJ3" s="58" t="s">
        <v>5</v>
      </c>
    </row>
    <row r="4" spans="1:37" ht="14.4" customHeight="1" x14ac:dyDescent="0.3">
      <c r="A4" s="59">
        <v>1</v>
      </c>
      <c r="B4" s="51">
        <v>623</v>
      </c>
      <c r="C4" t="s">
        <v>93</v>
      </c>
      <c r="D4" s="52">
        <v>37271</v>
      </c>
      <c r="E4" s="51" t="s">
        <v>36</v>
      </c>
      <c r="F4" s="30" t="s">
        <v>53</v>
      </c>
      <c r="G4" s="37">
        <v>3</v>
      </c>
      <c r="H4" s="51">
        <v>3</v>
      </c>
      <c r="I4" s="51">
        <v>3</v>
      </c>
      <c r="J4" s="51">
        <v>3</v>
      </c>
      <c r="K4" s="48">
        <f>SUM(Table623[[#This Row],[SARMC 1]:[SARMC 4]])</f>
        <v>12</v>
      </c>
      <c r="L4" s="37">
        <v>32</v>
      </c>
      <c r="M4" s="51">
        <v>35</v>
      </c>
      <c r="N4" s="38">
        <v>32</v>
      </c>
      <c r="O4" s="37">
        <v>35</v>
      </c>
      <c r="P4" s="51">
        <v>35</v>
      </c>
      <c r="Q4" s="38">
        <v>35</v>
      </c>
      <c r="R4" s="37">
        <v>35</v>
      </c>
      <c r="S4" s="51">
        <v>35</v>
      </c>
      <c r="T4" s="38">
        <v>35</v>
      </c>
      <c r="U4" s="37">
        <v>35</v>
      </c>
      <c r="V4" s="51">
        <v>35</v>
      </c>
      <c r="W4" s="51">
        <v>32</v>
      </c>
      <c r="X4" s="38" t="s">
        <v>467</v>
      </c>
      <c r="Y4" s="46">
        <f>LARGE((Table623[[#This Row],[K1]:[Z4]]),1)</f>
        <v>35</v>
      </c>
      <c r="Z4" s="47">
        <f>LARGE((Table623[[#This Row],[K1]:[Z4]]),2)</f>
        <v>35</v>
      </c>
      <c r="AA4" s="47">
        <f>LARGE((Table623[[#This Row],[K1]:[Z4]]),3)</f>
        <v>35</v>
      </c>
      <c r="AB4" s="47">
        <f>LARGE((Table623[[#This Row],[K1]:[Z4]]),4)</f>
        <v>35</v>
      </c>
      <c r="AC4" s="47">
        <f>LARGE((Table623[[#This Row],[K1]:[Z4]]),5)</f>
        <v>35</v>
      </c>
      <c r="AD4" s="47">
        <f>LARGE((Table623[[#This Row],[K1]:[Z4]]),6)</f>
        <v>35</v>
      </c>
      <c r="AE4" s="47">
        <f>LARGE((Table623[[#This Row],[K1]:[Z4]]),7)</f>
        <v>35</v>
      </c>
      <c r="AF4" s="47">
        <f>LARGE((Table623[[#This Row],[K1]:[Z4]]),8)</f>
        <v>35</v>
      </c>
      <c r="AG4" s="47">
        <f>LARGE((Table623[[#This Row],[K1]:[Z4]]),9)</f>
        <v>35</v>
      </c>
      <c r="AH4" s="38">
        <f>LARGE((Table623[[#This Row],[K1]:[Z4]]),10)</f>
        <v>32</v>
      </c>
      <c r="AI4" s="45">
        <f t="shared" ref="AI4:AI43" si="0">SUM(Y4:AH4)</f>
        <v>347</v>
      </c>
      <c r="AJ4" s="37">
        <f t="shared" ref="AJ4:AJ43" si="1">K4+AI4</f>
        <v>359</v>
      </c>
      <c r="AK4" s="11"/>
    </row>
    <row r="5" spans="1:37" ht="14.4" customHeight="1" x14ac:dyDescent="0.3">
      <c r="A5" s="59">
        <v>2</v>
      </c>
      <c r="B5" s="51">
        <v>699</v>
      </c>
      <c r="C5" t="s">
        <v>224</v>
      </c>
      <c r="D5" s="52">
        <v>33804</v>
      </c>
      <c r="E5" s="51" t="s">
        <v>44</v>
      </c>
      <c r="F5" s="30" t="s">
        <v>53</v>
      </c>
      <c r="G5" s="37">
        <v>3</v>
      </c>
      <c r="H5" s="51">
        <v>3</v>
      </c>
      <c r="I5" s="51">
        <v>3</v>
      </c>
      <c r="J5" s="51">
        <v>3</v>
      </c>
      <c r="K5" s="49">
        <f>SUM(Table623[[#This Row],[SARMC 1]:[SARMC 4]])</f>
        <v>12</v>
      </c>
      <c r="L5" s="37">
        <v>35</v>
      </c>
      <c r="M5" s="51">
        <v>30</v>
      </c>
      <c r="N5" s="38">
        <v>35</v>
      </c>
      <c r="O5" s="37">
        <v>27</v>
      </c>
      <c r="P5" s="51">
        <v>28</v>
      </c>
      <c r="Q5" s="38">
        <v>30</v>
      </c>
      <c r="R5" s="37">
        <v>25</v>
      </c>
      <c r="S5" s="51">
        <v>29</v>
      </c>
      <c r="T5" s="38">
        <v>32</v>
      </c>
      <c r="U5" s="37">
        <v>32</v>
      </c>
      <c r="V5" s="51">
        <v>29</v>
      </c>
      <c r="W5" s="51">
        <v>30</v>
      </c>
      <c r="X5" s="38">
        <v>35</v>
      </c>
      <c r="Y5" s="37">
        <f>LARGE((Table623[[#This Row],[K1]:[Z4]]),1)</f>
        <v>35</v>
      </c>
      <c r="Z5" s="51">
        <f>LARGE((Table623[[#This Row],[K1]:[Z4]]),2)</f>
        <v>35</v>
      </c>
      <c r="AA5" s="51">
        <f>LARGE((Table623[[#This Row],[K1]:[Z4]]),3)</f>
        <v>35</v>
      </c>
      <c r="AB5" s="51">
        <f>LARGE((Table623[[#This Row],[K1]:[Z4]]),4)</f>
        <v>32</v>
      </c>
      <c r="AC5" s="51">
        <f>LARGE((Table623[[#This Row],[K1]:[Z4]]),5)</f>
        <v>32</v>
      </c>
      <c r="AD5" s="51">
        <f>LARGE((Table623[[#This Row],[K1]:[Z4]]),6)</f>
        <v>30</v>
      </c>
      <c r="AE5" s="51">
        <f>LARGE((Table623[[#This Row],[K1]:[Z4]]),7)</f>
        <v>30</v>
      </c>
      <c r="AF5" s="51">
        <f>LARGE((Table623[[#This Row],[K1]:[Z4]]),8)</f>
        <v>30</v>
      </c>
      <c r="AG5" s="51">
        <f>LARGE((Table623[[#This Row],[K1]:[Z4]]),9)</f>
        <v>29</v>
      </c>
      <c r="AH5" s="38">
        <f>LARGE((Table623[[#This Row],[K1]:[Z4]]),10)</f>
        <v>29</v>
      </c>
      <c r="AI5" s="45">
        <f t="shared" si="0"/>
        <v>317</v>
      </c>
      <c r="AJ5" s="37">
        <f t="shared" si="1"/>
        <v>329</v>
      </c>
      <c r="AK5" s="11"/>
    </row>
    <row r="6" spans="1:37" ht="14.4" customHeight="1" x14ac:dyDescent="0.3">
      <c r="A6" s="59">
        <v>3</v>
      </c>
      <c r="B6" s="51">
        <v>646</v>
      </c>
      <c r="C6" t="s">
        <v>97</v>
      </c>
      <c r="D6" s="52">
        <v>37426</v>
      </c>
      <c r="E6" s="51" t="s">
        <v>36</v>
      </c>
      <c r="F6" s="30" t="s">
        <v>334</v>
      </c>
      <c r="G6" s="37">
        <v>3</v>
      </c>
      <c r="H6" s="51">
        <v>3</v>
      </c>
      <c r="I6" s="51">
        <v>3</v>
      </c>
      <c r="J6" s="51">
        <v>3</v>
      </c>
      <c r="K6" s="49">
        <f>SUM(Table623[[#This Row],[SARMC 1]:[SARMC 4]])</f>
        <v>12</v>
      </c>
      <c r="L6" s="37">
        <v>28</v>
      </c>
      <c r="M6" s="51">
        <v>26</v>
      </c>
      <c r="N6" s="38">
        <v>28</v>
      </c>
      <c r="O6" s="37">
        <v>32</v>
      </c>
      <c r="P6" s="51">
        <v>32</v>
      </c>
      <c r="Q6" s="38">
        <v>32</v>
      </c>
      <c r="R6" s="37">
        <v>32</v>
      </c>
      <c r="S6" s="51">
        <v>30</v>
      </c>
      <c r="T6" s="38">
        <v>30</v>
      </c>
      <c r="U6" s="37">
        <v>26</v>
      </c>
      <c r="V6" s="51">
        <v>25</v>
      </c>
      <c r="W6" s="51">
        <v>27</v>
      </c>
      <c r="X6" s="38">
        <v>29</v>
      </c>
      <c r="Y6" s="37">
        <f>LARGE((Table623[[#This Row],[K1]:[Z4]]),1)</f>
        <v>32</v>
      </c>
      <c r="Z6" s="51">
        <f>LARGE((Table623[[#This Row],[K1]:[Z4]]),2)</f>
        <v>32</v>
      </c>
      <c r="AA6" s="51">
        <f>LARGE((Table623[[#This Row],[K1]:[Z4]]),3)</f>
        <v>32</v>
      </c>
      <c r="AB6" s="51">
        <f>LARGE((Table623[[#This Row],[K1]:[Z4]]),4)</f>
        <v>32</v>
      </c>
      <c r="AC6" s="51">
        <f>LARGE((Table623[[#This Row],[K1]:[Z4]]),5)</f>
        <v>30</v>
      </c>
      <c r="AD6" s="51">
        <f>LARGE((Table623[[#This Row],[K1]:[Z4]]),6)</f>
        <v>30</v>
      </c>
      <c r="AE6" s="51">
        <f>LARGE((Table623[[#This Row],[K1]:[Z4]]),7)</f>
        <v>29</v>
      </c>
      <c r="AF6" s="51">
        <f>LARGE((Table623[[#This Row],[K1]:[Z4]]),8)</f>
        <v>28</v>
      </c>
      <c r="AG6" s="51">
        <f>LARGE((Table623[[#This Row],[K1]:[Z4]]),9)</f>
        <v>28</v>
      </c>
      <c r="AH6" s="38">
        <f>LARGE((Table623[[#This Row],[K1]:[Z4]]),10)</f>
        <v>27</v>
      </c>
      <c r="AI6" s="45">
        <f t="shared" si="0"/>
        <v>300</v>
      </c>
      <c r="AJ6" s="37">
        <f t="shared" si="1"/>
        <v>312</v>
      </c>
      <c r="AK6" s="11"/>
    </row>
    <row r="7" spans="1:37" ht="14.4" customHeight="1" x14ac:dyDescent="0.3">
      <c r="A7" s="59">
        <v>4</v>
      </c>
      <c r="B7" s="51">
        <v>664</v>
      </c>
      <c r="C7" t="s">
        <v>371</v>
      </c>
      <c r="D7" s="52">
        <v>34339</v>
      </c>
      <c r="E7" s="51" t="s">
        <v>36</v>
      </c>
      <c r="F7" s="30" t="s">
        <v>334</v>
      </c>
      <c r="G7" s="37">
        <v>3</v>
      </c>
      <c r="H7" s="51">
        <v>3</v>
      </c>
      <c r="I7" s="51">
        <v>3</v>
      </c>
      <c r="J7" s="51">
        <v>3</v>
      </c>
      <c r="K7" s="49">
        <f>SUM(Table623[[#This Row],[SARMC 1]:[SARMC 4]])</f>
        <v>12</v>
      </c>
      <c r="L7" s="37">
        <v>25</v>
      </c>
      <c r="M7" s="51">
        <v>25</v>
      </c>
      <c r="N7" s="38">
        <v>26</v>
      </c>
      <c r="O7" s="37">
        <v>30</v>
      </c>
      <c r="P7" s="51">
        <v>29</v>
      </c>
      <c r="Q7" s="38">
        <v>28</v>
      </c>
      <c r="R7" s="37">
        <v>28</v>
      </c>
      <c r="S7" s="51">
        <v>32</v>
      </c>
      <c r="T7" s="38">
        <v>29</v>
      </c>
      <c r="U7" s="37">
        <v>28</v>
      </c>
      <c r="V7" s="51">
        <v>28</v>
      </c>
      <c r="W7" s="51">
        <v>25</v>
      </c>
      <c r="X7" s="38">
        <v>30</v>
      </c>
      <c r="Y7" s="37">
        <f>LARGE((Table623[[#This Row],[K1]:[Z4]]),1)</f>
        <v>32</v>
      </c>
      <c r="Z7" s="51">
        <f>LARGE((Table623[[#This Row],[K1]:[Z4]]),2)</f>
        <v>30</v>
      </c>
      <c r="AA7" s="51">
        <f>LARGE((Table623[[#This Row],[K1]:[Z4]]),3)</f>
        <v>30</v>
      </c>
      <c r="AB7" s="51">
        <f>LARGE((Table623[[#This Row],[K1]:[Z4]]),4)</f>
        <v>29</v>
      </c>
      <c r="AC7" s="51">
        <f>LARGE((Table623[[#This Row],[K1]:[Z4]]),5)</f>
        <v>29</v>
      </c>
      <c r="AD7" s="51">
        <f>LARGE((Table623[[#This Row],[K1]:[Z4]]),6)</f>
        <v>28</v>
      </c>
      <c r="AE7" s="51">
        <f>LARGE((Table623[[#This Row],[K1]:[Z4]]),7)</f>
        <v>28</v>
      </c>
      <c r="AF7" s="51">
        <f>LARGE((Table623[[#This Row],[K1]:[Z4]]),8)</f>
        <v>28</v>
      </c>
      <c r="AG7" s="51">
        <f>LARGE((Table623[[#This Row],[K1]:[Z4]]),9)</f>
        <v>28</v>
      </c>
      <c r="AH7" s="38">
        <f>LARGE((Table623[[#This Row],[K1]:[Z4]]),10)</f>
        <v>26</v>
      </c>
      <c r="AI7" s="45">
        <f t="shared" si="0"/>
        <v>288</v>
      </c>
      <c r="AJ7" s="37">
        <f t="shared" si="1"/>
        <v>300</v>
      </c>
      <c r="AK7" s="11"/>
    </row>
    <row r="8" spans="1:37" ht="14.4" customHeight="1" x14ac:dyDescent="0.3">
      <c r="A8" s="59">
        <v>5</v>
      </c>
      <c r="B8" s="51">
        <v>621</v>
      </c>
      <c r="C8" t="s">
        <v>91</v>
      </c>
      <c r="D8" s="52" t="s">
        <v>373</v>
      </c>
      <c r="E8" s="51" t="s">
        <v>39</v>
      </c>
      <c r="F8" s="30" t="s">
        <v>53</v>
      </c>
      <c r="G8" s="37">
        <v>3</v>
      </c>
      <c r="H8" s="51">
        <v>3</v>
      </c>
      <c r="I8" s="51">
        <v>3</v>
      </c>
      <c r="J8" s="51">
        <v>3</v>
      </c>
      <c r="K8" s="49">
        <f>SUM(Table623[[#This Row],[SARMC 1]:[SARMC 4]])</f>
        <v>12</v>
      </c>
      <c r="L8" s="37">
        <v>19</v>
      </c>
      <c r="M8" s="51">
        <v>21</v>
      </c>
      <c r="N8" s="38">
        <v>23</v>
      </c>
      <c r="O8" s="37">
        <v>28</v>
      </c>
      <c r="P8" s="51">
        <v>30</v>
      </c>
      <c r="Q8" s="38">
        <v>29</v>
      </c>
      <c r="R8" s="37">
        <v>24</v>
      </c>
      <c r="S8" s="51">
        <v>27</v>
      </c>
      <c r="T8" s="38">
        <v>26</v>
      </c>
      <c r="U8" s="37">
        <v>30</v>
      </c>
      <c r="V8" s="51">
        <v>30</v>
      </c>
      <c r="W8" s="51">
        <v>35</v>
      </c>
      <c r="X8" s="38">
        <v>21</v>
      </c>
      <c r="Y8" s="37">
        <f>LARGE((Table623[[#This Row],[K1]:[Z4]]),1)</f>
        <v>35</v>
      </c>
      <c r="Z8" s="51">
        <f>LARGE((Table623[[#This Row],[K1]:[Z4]]),2)</f>
        <v>30</v>
      </c>
      <c r="AA8" s="51">
        <f>LARGE((Table623[[#This Row],[K1]:[Z4]]),3)</f>
        <v>30</v>
      </c>
      <c r="AB8" s="51">
        <f>LARGE((Table623[[#This Row],[K1]:[Z4]]),4)</f>
        <v>30</v>
      </c>
      <c r="AC8" s="51">
        <f>LARGE((Table623[[#This Row],[K1]:[Z4]]),5)</f>
        <v>29</v>
      </c>
      <c r="AD8" s="51">
        <f>LARGE((Table623[[#This Row],[K1]:[Z4]]),6)</f>
        <v>28</v>
      </c>
      <c r="AE8" s="51">
        <f>LARGE((Table623[[#This Row],[K1]:[Z4]]),7)</f>
        <v>27</v>
      </c>
      <c r="AF8" s="51">
        <f>LARGE((Table623[[#This Row],[K1]:[Z4]]),8)</f>
        <v>26</v>
      </c>
      <c r="AG8" s="51">
        <f>LARGE((Table623[[#This Row],[K1]:[Z4]]),9)</f>
        <v>24</v>
      </c>
      <c r="AH8" s="38">
        <f>LARGE((Table623[[#This Row],[K1]:[Z4]]),10)</f>
        <v>23</v>
      </c>
      <c r="AI8" s="45">
        <f t="shared" si="0"/>
        <v>282</v>
      </c>
      <c r="AJ8" s="37">
        <f t="shared" si="1"/>
        <v>294</v>
      </c>
      <c r="AK8" s="11"/>
    </row>
    <row r="9" spans="1:37" ht="14.4" customHeight="1" x14ac:dyDescent="0.3">
      <c r="A9" s="59">
        <v>6</v>
      </c>
      <c r="B9" s="51">
        <v>617</v>
      </c>
      <c r="C9" t="s">
        <v>88</v>
      </c>
      <c r="D9" s="52">
        <v>42864</v>
      </c>
      <c r="E9" s="51" t="s">
        <v>36</v>
      </c>
      <c r="F9" s="30" t="s">
        <v>54</v>
      </c>
      <c r="G9" s="37">
        <v>3</v>
      </c>
      <c r="H9" s="51">
        <v>3</v>
      </c>
      <c r="I9" s="51">
        <v>3</v>
      </c>
      <c r="J9" s="51">
        <v>3</v>
      </c>
      <c r="K9" s="49">
        <f>SUM(Table623[[#This Row],[SARMC 1]:[SARMC 4]])</f>
        <v>12</v>
      </c>
      <c r="L9" s="37">
        <v>26</v>
      </c>
      <c r="M9" s="51">
        <v>28</v>
      </c>
      <c r="N9" s="38">
        <v>27</v>
      </c>
      <c r="O9" s="37">
        <v>29</v>
      </c>
      <c r="P9" s="51">
        <v>27</v>
      </c>
      <c r="Q9" s="38">
        <v>25</v>
      </c>
      <c r="R9" s="37">
        <v>29</v>
      </c>
      <c r="S9" s="51">
        <v>23</v>
      </c>
      <c r="T9" s="38">
        <v>28</v>
      </c>
      <c r="U9" s="37">
        <v>22</v>
      </c>
      <c r="V9" s="51">
        <v>21</v>
      </c>
      <c r="W9" s="51">
        <v>20</v>
      </c>
      <c r="X9" s="38">
        <v>26</v>
      </c>
      <c r="Y9" s="37">
        <f>LARGE((Table623[[#This Row],[K1]:[Z4]]),1)</f>
        <v>29</v>
      </c>
      <c r="Z9" s="51">
        <f>LARGE((Table623[[#This Row],[K1]:[Z4]]),2)</f>
        <v>29</v>
      </c>
      <c r="AA9" s="51">
        <f>LARGE((Table623[[#This Row],[K1]:[Z4]]),3)</f>
        <v>28</v>
      </c>
      <c r="AB9" s="51">
        <f>LARGE((Table623[[#This Row],[K1]:[Z4]]),4)</f>
        <v>28</v>
      </c>
      <c r="AC9" s="51">
        <f>LARGE((Table623[[#This Row],[K1]:[Z4]]),5)</f>
        <v>27</v>
      </c>
      <c r="AD9" s="51">
        <f>LARGE((Table623[[#This Row],[K1]:[Z4]]),6)</f>
        <v>27</v>
      </c>
      <c r="AE9" s="51">
        <f>LARGE((Table623[[#This Row],[K1]:[Z4]]),7)</f>
        <v>26</v>
      </c>
      <c r="AF9" s="51">
        <f>LARGE((Table623[[#This Row],[K1]:[Z4]]),8)</f>
        <v>26</v>
      </c>
      <c r="AG9" s="51">
        <f>LARGE((Table623[[#This Row],[K1]:[Z4]]),9)</f>
        <v>25</v>
      </c>
      <c r="AH9" s="38">
        <f>LARGE((Table623[[#This Row],[K1]:[Z4]]),10)</f>
        <v>23</v>
      </c>
      <c r="AI9" s="45">
        <f t="shared" si="0"/>
        <v>268</v>
      </c>
      <c r="AJ9" s="37">
        <f t="shared" si="1"/>
        <v>280</v>
      </c>
      <c r="AK9" s="11"/>
    </row>
    <row r="10" spans="1:37" ht="14.4" customHeight="1" x14ac:dyDescent="0.3">
      <c r="A10" s="59">
        <v>7</v>
      </c>
      <c r="B10" s="51">
        <v>641</v>
      </c>
      <c r="C10" t="s">
        <v>226</v>
      </c>
      <c r="D10" s="52">
        <v>37524</v>
      </c>
      <c r="E10" s="51" t="s">
        <v>36</v>
      </c>
      <c r="F10" s="30" t="s">
        <v>53</v>
      </c>
      <c r="G10" s="37">
        <v>3</v>
      </c>
      <c r="H10" s="51">
        <v>3</v>
      </c>
      <c r="I10" s="51">
        <v>3</v>
      </c>
      <c r="J10" s="51">
        <v>3</v>
      </c>
      <c r="K10" s="49">
        <f>SUM(Table623[[#This Row],[SARMC 1]:[SARMC 4]])</f>
        <v>12</v>
      </c>
      <c r="L10" s="37">
        <v>23</v>
      </c>
      <c r="M10" s="51">
        <v>23</v>
      </c>
      <c r="N10" s="38">
        <v>21</v>
      </c>
      <c r="O10" s="37">
        <v>24</v>
      </c>
      <c r="P10" s="51">
        <v>25</v>
      </c>
      <c r="Q10" s="38">
        <v>24</v>
      </c>
      <c r="R10" s="37">
        <v>27</v>
      </c>
      <c r="S10" s="51">
        <v>28</v>
      </c>
      <c r="T10" s="38">
        <v>15</v>
      </c>
      <c r="U10" s="37">
        <v>27</v>
      </c>
      <c r="V10" s="51">
        <v>27</v>
      </c>
      <c r="W10" s="51">
        <v>28</v>
      </c>
      <c r="X10" s="38">
        <v>32</v>
      </c>
      <c r="Y10" s="37">
        <f>LARGE((Table623[[#This Row],[K1]:[Z4]]),1)</f>
        <v>32</v>
      </c>
      <c r="Z10" s="51">
        <f>LARGE((Table623[[#This Row],[K1]:[Z4]]),2)</f>
        <v>28</v>
      </c>
      <c r="AA10" s="51">
        <f>LARGE((Table623[[#This Row],[K1]:[Z4]]),3)</f>
        <v>28</v>
      </c>
      <c r="AB10" s="51">
        <f>LARGE((Table623[[#This Row],[K1]:[Z4]]),4)</f>
        <v>27</v>
      </c>
      <c r="AC10" s="51">
        <f>LARGE((Table623[[#This Row],[K1]:[Z4]]),5)</f>
        <v>27</v>
      </c>
      <c r="AD10" s="51">
        <f>LARGE((Table623[[#This Row],[K1]:[Z4]]),6)</f>
        <v>27</v>
      </c>
      <c r="AE10" s="51">
        <f>LARGE((Table623[[#This Row],[K1]:[Z4]]),7)</f>
        <v>25</v>
      </c>
      <c r="AF10" s="51">
        <f>LARGE((Table623[[#This Row],[K1]:[Z4]]),8)</f>
        <v>24</v>
      </c>
      <c r="AG10" s="51">
        <f>LARGE((Table623[[#This Row],[K1]:[Z4]]),9)</f>
        <v>24</v>
      </c>
      <c r="AH10" s="38">
        <f>LARGE((Table623[[#This Row],[K1]:[Z4]]),10)</f>
        <v>23</v>
      </c>
      <c r="AI10" s="45">
        <f t="shared" si="0"/>
        <v>265</v>
      </c>
      <c r="AJ10" s="37">
        <f t="shared" si="1"/>
        <v>277</v>
      </c>
      <c r="AK10" s="11"/>
    </row>
    <row r="11" spans="1:37" ht="14.4" customHeight="1" x14ac:dyDescent="0.3">
      <c r="A11" s="59">
        <v>8</v>
      </c>
      <c r="B11" s="51">
        <v>619</v>
      </c>
      <c r="C11" t="s">
        <v>90</v>
      </c>
      <c r="D11" s="52">
        <v>45247</v>
      </c>
      <c r="E11" s="51" t="s">
        <v>36</v>
      </c>
      <c r="F11" s="30" t="s">
        <v>53</v>
      </c>
      <c r="G11" s="37">
        <v>3</v>
      </c>
      <c r="H11" s="51">
        <v>3</v>
      </c>
      <c r="I11" s="51">
        <v>3</v>
      </c>
      <c r="J11" s="51">
        <v>3</v>
      </c>
      <c r="K11" s="49">
        <f>SUM(Table623[[#This Row],[SARMC 1]:[SARMC 4]])</f>
        <v>12</v>
      </c>
      <c r="L11" s="37">
        <v>24</v>
      </c>
      <c r="M11" s="51">
        <v>20</v>
      </c>
      <c r="N11" s="38">
        <v>22</v>
      </c>
      <c r="O11" s="37">
        <v>23</v>
      </c>
      <c r="P11" s="51">
        <v>23</v>
      </c>
      <c r="Q11" s="38">
        <v>26</v>
      </c>
      <c r="R11" s="37">
        <v>23</v>
      </c>
      <c r="S11" s="51">
        <v>24</v>
      </c>
      <c r="T11" s="38">
        <v>27</v>
      </c>
      <c r="U11" s="37">
        <v>29</v>
      </c>
      <c r="V11" s="51">
        <v>32</v>
      </c>
      <c r="W11" s="51">
        <v>29</v>
      </c>
      <c r="X11" s="38">
        <v>23</v>
      </c>
      <c r="Y11" s="37">
        <f>LARGE((Table623[[#This Row],[K1]:[Z4]]),1)</f>
        <v>32</v>
      </c>
      <c r="Z11" s="51">
        <f>LARGE((Table623[[#This Row],[K1]:[Z4]]),2)</f>
        <v>29</v>
      </c>
      <c r="AA11" s="51">
        <f>LARGE((Table623[[#This Row],[K1]:[Z4]]),3)</f>
        <v>29</v>
      </c>
      <c r="AB11" s="51">
        <f>LARGE((Table623[[#This Row],[K1]:[Z4]]),4)</f>
        <v>27</v>
      </c>
      <c r="AC11" s="51">
        <f>LARGE((Table623[[#This Row],[K1]:[Z4]]),5)</f>
        <v>26</v>
      </c>
      <c r="AD11" s="51">
        <f>LARGE((Table623[[#This Row],[K1]:[Z4]]),6)</f>
        <v>24</v>
      </c>
      <c r="AE11" s="51">
        <f>LARGE((Table623[[#This Row],[K1]:[Z4]]),7)</f>
        <v>24</v>
      </c>
      <c r="AF11" s="51">
        <f>LARGE((Table623[[#This Row],[K1]:[Z4]]),8)</f>
        <v>23</v>
      </c>
      <c r="AG11" s="51">
        <f>LARGE((Table623[[#This Row],[K1]:[Z4]]),9)</f>
        <v>23</v>
      </c>
      <c r="AH11" s="38">
        <f>LARGE((Table623[[#This Row],[K1]:[Z4]]),10)</f>
        <v>23</v>
      </c>
      <c r="AI11" s="45">
        <f t="shared" si="0"/>
        <v>260</v>
      </c>
      <c r="AJ11" s="37">
        <f t="shared" si="1"/>
        <v>272</v>
      </c>
      <c r="AK11" s="11"/>
    </row>
    <row r="12" spans="1:37" ht="14.4" customHeight="1" x14ac:dyDescent="0.3">
      <c r="A12" s="59">
        <v>9</v>
      </c>
      <c r="B12" s="51">
        <v>672</v>
      </c>
      <c r="C12" t="s">
        <v>370</v>
      </c>
      <c r="D12" s="52">
        <v>46064</v>
      </c>
      <c r="E12" s="51" t="s">
        <v>36</v>
      </c>
      <c r="F12" s="30" t="s">
        <v>53</v>
      </c>
      <c r="G12" s="37">
        <v>3</v>
      </c>
      <c r="H12" s="51">
        <v>3</v>
      </c>
      <c r="I12" s="51">
        <v>3</v>
      </c>
      <c r="J12" s="51">
        <v>3</v>
      </c>
      <c r="K12" s="49">
        <f>SUM(Table623[[#This Row],[SARMC 1]:[SARMC 4]])</f>
        <v>12</v>
      </c>
      <c r="L12" s="37">
        <v>20</v>
      </c>
      <c r="M12" s="51">
        <v>24</v>
      </c>
      <c r="N12" s="38">
        <v>20</v>
      </c>
      <c r="O12" s="37">
        <v>25</v>
      </c>
      <c r="P12" s="51">
        <v>24</v>
      </c>
      <c r="Q12" s="38">
        <v>22</v>
      </c>
      <c r="R12" s="37">
        <v>30</v>
      </c>
      <c r="S12" s="51">
        <v>17</v>
      </c>
      <c r="T12" s="38">
        <v>24</v>
      </c>
      <c r="U12" s="37">
        <v>25</v>
      </c>
      <c r="V12" s="51">
        <v>26</v>
      </c>
      <c r="W12" s="51">
        <v>26</v>
      </c>
      <c r="X12" s="38">
        <v>28</v>
      </c>
      <c r="Y12" s="37">
        <f>LARGE((Table623[[#This Row],[K1]:[Z4]]),1)</f>
        <v>30</v>
      </c>
      <c r="Z12" s="51">
        <f>LARGE((Table623[[#This Row],[K1]:[Z4]]),2)</f>
        <v>28</v>
      </c>
      <c r="AA12" s="51">
        <f>LARGE((Table623[[#This Row],[K1]:[Z4]]),3)</f>
        <v>26</v>
      </c>
      <c r="AB12" s="51">
        <f>LARGE((Table623[[#This Row],[K1]:[Z4]]),4)</f>
        <v>26</v>
      </c>
      <c r="AC12" s="51">
        <f>LARGE((Table623[[#This Row],[K1]:[Z4]]),5)</f>
        <v>25</v>
      </c>
      <c r="AD12" s="51">
        <f>LARGE((Table623[[#This Row],[K1]:[Z4]]),6)</f>
        <v>25</v>
      </c>
      <c r="AE12" s="51">
        <f>LARGE((Table623[[#This Row],[K1]:[Z4]]),7)</f>
        <v>24</v>
      </c>
      <c r="AF12" s="51">
        <f>LARGE((Table623[[#This Row],[K1]:[Z4]]),8)</f>
        <v>24</v>
      </c>
      <c r="AG12" s="51">
        <f>LARGE((Table623[[#This Row],[K1]:[Z4]]),9)</f>
        <v>24</v>
      </c>
      <c r="AH12" s="38">
        <f>LARGE((Table623[[#This Row],[K1]:[Z4]]),10)</f>
        <v>22</v>
      </c>
      <c r="AI12" s="45">
        <f t="shared" si="0"/>
        <v>254</v>
      </c>
      <c r="AJ12" s="37">
        <f t="shared" si="1"/>
        <v>266</v>
      </c>
      <c r="AK12" s="11"/>
    </row>
    <row r="13" spans="1:37" ht="14.4" customHeight="1" x14ac:dyDescent="0.3">
      <c r="A13" s="59">
        <v>10</v>
      </c>
      <c r="B13" s="51">
        <v>620</v>
      </c>
      <c r="C13" t="s">
        <v>375</v>
      </c>
      <c r="D13" s="52">
        <v>45645</v>
      </c>
      <c r="E13" s="51" t="s">
        <v>36</v>
      </c>
      <c r="F13" s="30" t="s">
        <v>48</v>
      </c>
      <c r="G13" s="37">
        <v>3</v>
      </c>
      <c r="H13" s="51">
        <v>3</v>
      </c>
      <c r="I13" s="51">
        <v>3</v>
      </c>
      <c r="J13" s="51">
        <v>0</v>
      </c>
      <c r="K13" s="49">
        <f>SUM(Table623[[#This Row],[SARMC 1]:[SARMC 4]])</f>
        <v>9</v>
      </c>
      <c r="L13" s="37">
        <v>0</v>
      </c>
      <c r="M13" s="51">
        <v>0</v>
      </c>
      <c r="N13" s="38">
        <v>0</v>
      </c>
      <c r="O13" s="37">
        <v>26</v>
      </c>
      <c r="P13" s="51">
        <v>26</v>
      </c>
      <c r="Q13" s="38">
        <v>27</v>
      </c>
      <c r="R13" s="37">
        <v>26</v>
      </c>
      <c r="S13" s="51">
        <v>25</v>
      </c>
      <c r="T13" s="38">
        <v>25</v>
      </c>
      <c r="U13" s="37">
        <v>23</v>
      </c>
      <c r="V13" s="51">
        <v>24</v>
      </c>
      <c r="W13" s="51">
        <v>23</v>
      </c>
      <c r="X13" s="38">
        <v>24</v>
      </c>
      <c r="Y13" s="37">
        <f>LARGE((Table623[[#This Row],[K1]:[Z4]]),1)</f>
        <v>27</v>
      </c>
      <c r="Z13" s="51">
        <f>LARGE((Table623[[#This Row],[K1]:[Z4]]),2)</f>
        <v>26</v>
      </c>
      <c r="AA13" s="51">
        <f>LARGE((Table623[[#This Row],[K1]:[Z4]]),3)</f>
        <v>26</v>
      </c>
      <c r="AB13" s="51">
        <f>LARGE((Table623[[#This Row],[K1]:[Z4]]),4)</f>
        <v>26</v>
      </c>
      <c r="AC13" s="51">
        <f>LARGE((Table623[[#This Row],[K1]:[Z4]]),5)</f>
        <v>25</v>
      </c>
      <c r="AD13" s="51">
        <f>LARGE((Table623[[#This Row],[K1]:[Z4]]),6)</f>
        <v>25</v>
      </c>
      <c r="AE13" s="51">
        <f>LARGE((Table623[[#This Row],[K1]:[Z4]]),7)</f>
        <v>24</v>
      </c>
      <c r="AF13" s="51">
        <f>LARGE((Table623[[#This Row],[K1]:[Z4]]),8)</f>
        <v>24</v>
      </c>
      <c r="AG13" s="51">
        <f>LARGE((Table623[[#This Row],[K1]:[Z4]]),9)</f>
        <v>23</v>
      </c>
      <c r="AH13" s="38">
        <f>LARGE((Table623[[#This Row],[K1]:[Z4]]),10)</f>
        <v>23</v>
      </c>
      <c r="AI13" s="45">
        <f t="shared" si="0"/>
        <v>249</v>
      </c>
      <c r="AJ13" s="37">
        <f t="shared" si="1"/>
        <v>258</v>
      </c>
      <c r="AK13" s="11"/>
    </row>
    <row r="14" spans="1:37" ht="14.4" customHeight="1" x14ac:dyDescent="0.3">
      <c r="A14" s="59">
        <v>11</v>
      </c>
      <c r="B14" s="51">
        <v>662</v>
      </c>
      <c r="C14" t="s">
        <v>95</v>
      </c>
      <c r="D14" s="52">
        <v>44567</v>
      </c>
      <c r="E14" s="51" t="s">
        <v>44</v>
      </c>
      <c r="F14" s="30" t="s">
        <v>53</v>
      </c>
      <c r="G14" s="37">
        <v>2</v>
      </c>
      <c r="H14" s="51">
        <v>3</v>
      </c>
      <c r="I14" s="51">
        <v>3</v>
      </c>
      <c r="J14" s="51">
        <v>3</v>
      </c>
      <c r="K14" s="49">
        <f>SUM(Table623[[#This Row],[SARMC 1]:[SARMC 4]])</f>
        <v>11</v>
      </c>
      <c r="L14" s="37">
        <v>27</v>
      </c>
      <c r="M14" s="51">
        <v>22</v>
      </c>
      <c r="N14" s="38">
        <v>25</v>
      </c>
      <c r="O14" s="37">
        <v>22</v>
      </c>
      <c r="P14" s="51">
        <v>22</v>
      </c>
      <c r="Q14" s="38">
        <v>0</v>
      </c>
      <c r="R14" s="37">
        <v>21</v>
      </c>
      <c r="S14" s="51">
        <v>17</v>
      </c>
      <c r="T14" s="38">
        <v>22</v>
      </c>
      <c r="U14" s="37">
        <v>24</v>
      </c>
      <c r="V14" s="51">
        <v>23</v>
      </c>
      <c r="W14" s="51">
        <v>24</v>
      </c>
      <c r="X14" s="38">
        <v>25</v>
      </c>
      <c r="Y14" s="37">
        <f>LARGE((Table623[[#This Row],[K1]:[Z4]]),1)</f>
        <v>27</v>
      </c>
      <c r="Z14" s="51">
        <f>LARGE((Table623[[#This Row],[K1]:[Z4]]),2)</f>
        <v>25</v>
      </c>
      <c r="AA14" s="51">
        <f>LARGE((Table623[[#This Row],[K1]:[Z4]]),3)</f>
        <v>25</v>
      </c>
      <c r="AB14" s="51">
        <f>LARGE((Table623[[#This Row],[K1]:[Z4]]),4)</f>
        <v>24</v>
      </c>
      <c r="AC14" s="51">
        <f>LARGE((Table623[[#This Row],[K1]:[Z4]]),5)</f>
        <v>24</v>
      </c>
      <c r="AD14" s="51">
        <f>LARGE((Table623[[#This Row],[K1]:[Z4]]),6)</f>
        <v>23</v>
      </c>
      <c r="AE14" s="51">
        <f>LARGE((Table623[[#This Row],[K1]:[Z4]]),7)</f>
        <v>22</v>
      </c>
      <c r="AF14" s="51">
        <f>LARGE((Table623[[#This Row],[K1]:[Z4]]),8)</f>
        <v>22</v>
      </c>
      <c r="AG14" s="51">
        <f>LARGE((Table623[[#This Row],[K1]:[Z4]]),9)</f>
        <v>22</v>
      </c>
      <c r="AH14" s="38">
        <f>LARGE((Table623[[#This Row],[K1]:[Z4]]),10)</f>
        <v>22</v>
      </c>
      <c r="AI14" s="45">
        <f t="shared" si="0"/>
        <v>236</v>
      </c>
      <c r="AJ14" s="37">
        <f t="shared" si="1"/>
        <v>247</v>
      </c>
      <c r="AK14" s="11"/>
    </row>
    <row r="15" spans="1:37" ht="14.4" customHeight="1" x14ac:dyDescent="0.3">
      <c r="A15" s="59">
        <v>12</v>
      </c>
      <c r="B15" s="51">
        <v>624</v>
      </c>
      <c r="C15" t="s">
        <v>37</v>
      </c>
      <c r="D15" s="52">
        <v>6224</v>
      </c>
      <c r="E15" s="51" t="s">
        <v>36</v>
      </c>
      <c r="F15" s="30" t="s">
        <v>53</v>
      </c>
      <c r="G15" s="37">
        <v>3</v>
      </c>
      <c r="H15" s="51">
        <v>3</v>
      </c>
      <c r="I15" s="51">
        <v>3</v>
      </c>
      <c r="J15" s="51">
        <v>3</v>
      </c>
      <c r="K15" s="49">
        <f>SUM(Table623[[#This Row],[SARMC 1]:[SARMC 4]])</f>
        <v>12</v>
      </c>
      <c r="L15" s="37">
        <v>0</v>
      </c>
      <c r="M15" s="51">
        <v>0</v>
      </c>
      <c r="N15" s="38">
        <v>0</v>
      </c>
      <c r="O15" s="37">
        <v>21</v>
      </c>
      <c r="P15" s="51">
        <v>21</v>
      </c>
      <c r="Q15" s="38">
        <v>23</v>
      </c>
      <c r="R15" s="37">
        <v>22</v>
      </c>
      <c r="S15" s="51">
        <v>26</v>
      </c>
      <c r="T15" s="38">
        <v>23</v>
      </c>
      <c r="U15" s="37">
        <v>21</v>
      </c>
      <c r="V15" s="51">
        <v>22</v>
      </c>
      <c r="W15" s="51">
        <v>22</v>
      </c>
      <c r="X15" s="38">
        <v>27</v>
      </c>
      <c r="Y15" s="37">
        <f>LARGE((Table623[[#This Row],[K1]:[Z4]]),1)</f>
        <v>27</v>
      </c>
      <c r="Z15" s="51">
        <f>LARGE((Table623[[#This Row],[K1]:[Z4]]),2)</f>
        <v>26</v>
      </c>
      <c r="AA15" s="51">
        <f>LARGE((Table623[[#This Row],[K1]:[Z4]]),3)</f>
        <v>23</v>
      </c>
      <c r="AB15" s="51">
        <f>LARGE((Table623[[#This Row],[K1]:[Z4]]),4)</f>
        <v>23</v>
      </c>
      <c r="AC15" s="51">
        <f>LARGE((Table623[[#This Row],[K1]:[Z4]]),5)</f>
        <v>22</v>
      </c>
      <c r="AD15" s="51">
        <f>LARGE((Table623[[#This Row],[K1]:[Z4]]),6)</f>
        <v>22</v>
      </c>
      <c r="AE15" s="51">
        <f>LARGE((Table623[[#This Row],[K1]:[Z4]]),7)</f>
        <v>22</v>
      </c>
      <c r="AF15" s="51">
        <f>LARGE((Table623[[#This Row],[K1]:[Z4]]),8)</f>
        <v>21</v>
      </c>
      <c r="AG15" s="51">
        <f>LARGE((Table623[[#This Row],[K1]:[Z4]]),9)</f>
        <v>21</v>
      </c>
      <c r="AH15" s="38">
        <f>LARGE((Table623[[#This Row],[K1]:[Z4]]),10)</f>
        <v>21</v>
      </c>
      <c r="AI15" s="45">
        <f t="shared" si="0"/>
        <v>228</v>
      </c>
      <c r="AJ15" s="37">
        <f t="shared" si="1"/>
        <v>240</v>
      </c>
      <c r="AK15" s="11"/>
    </row>
    <row r="16" spans="1:37" ht="14.4" customHeight="1" x14ac:dyDescent="0.3">
      <c r="A16" s="59">
        <v>13</v>
      </c>
      <c r="B16" s="51">
        <v>636</v>
      </c>
      <c r="C16" t="s">
        <v>222</v>
      </c>
      <c r="D16" s="52" t="s">
        <v>223</v>
      </c>
      <c r="E16" s="51" t="s">
        <v>44</v>
      </c>
      <c r="F16" s="30" t="s">
        <v>332</v>
      </c>
      <c r="G16" s="37">
        <v>3</v>
      </c>
      <c r="H16" s="51">
        <v>3</v>
      </c>
      <c r="I16" s="51">
        <v>3</v>
      </c>
      <c r="J16" s="51">
        <v>3</v>
      </c>
      <c r="K16" s="49">
        <f>SUM(Table623[[#This Row],[SARMC 1]:[SARMC 4]])</f>
        <v>12</v>
      </c>
      <c r="L16" s="37">
        <v>30</v>
      </c>
      <c r="M16" s="51">
        <v>32</v>
      </c>
      <c r="N16" s="38">
        <v>30</v>
      </c>
      <c r="O16" s="37">
        <v>0</v>
      </c>
      <c r="P16" s="51">
        <v>0</v>
      </c>
      <c r="Q16" s="38">
        <v>0</v>
      </c>
      <c r="R16" s="37">
        <v>0</v>
      </c>
      <c r="S16" s="51">
        <v>0</v>
      </c>
      <c r="T16" s="38">
        <v>0</v>
      </c>
      <c r="U16" s="37">
        <v>0</v>
      </c>
      <c r="V16" s="51">
        <v>0</v>
      </c>
      <c r="W16" s="51">
        <v>0</v>
      </c>
      <c r="X16" s="38">
        <v>0</v>
      </c>
      <c r="Y16" s="37">
        <f>LARGE((Table623[[#This Row],[K1]:[Z4]]),1)</f>
        <v>32</v>
      </c>
      <c r="Z16" s="51">
        <f>LARGE((Table623[[#This Row],[K1]:[Z4]]),2)</f>
        <v>30</v>
      </c>
      <c r="AA16" s="51">
        <f>LARGE((Table623[[#This Row],[K1]:[Z4]]),3)</f>
        <v>30</v>
      </c>
      <c r="AB16" s="51">
        <f>LARGE((Table623[[#This Row],[K1]:[Z4]]),4)</f>
        <v>0</v>
      </c>
      <c r="AC16" s="51">
        <f>LARGE((Table623[[#This Row],[K1]:[Z4]]),5)</f>
        <v>0</v>
      </c>
      <c r="AD16" s="51">
        <f>LARGE((Table623[[#This Row],[K1]:[Z4]]),6)</f>
        <v>0</v>
      </c>
      <c r="AE16" s="51">
        <f>LARGE((Table623[[#This Row],[K1]:[Z4]]),7)</f>
        <v>0</v>
      </c>
      <c r="AF16" s="51">
        <f>LARGE((Table623[[#This Row],[K1]:[Z4]]),8)</f>
        <v>0</v>
      </c>
      <c r="AG16" s="51">
        <f>LARGE((Table623[[#This Row],[K1]:[Z4]]),9)</f>
        <v>0</v>
      </c>
      <c r="AH16" s="38">
        <f>LARGE((Table623[[#This Row],[K1]:[Z4]]),10)</f>
        <v>0</v>
      </c>
      <c r="AI16" s="45">
        <f t="shared" si="0"/>
        <v>92</v>
      </c>
      <c r="AJ16" s="37">
        <f t="shared" si="1"/>
        <v>104</v>
      </c>
      <c r="AK16" s="11"/>
    </row>
    <row r="17" spans="1:37" ht="14.4" customHeight="1" x14ac:dyDescent="0.3">
      <c r="A17" s="59">
        <v>14</v>
      </c>
      <c r="B17" s="51">
        <v>633</v>
      </c>
      <c r="C17" t="s">
        <v>219</v>
      </c>
      <c r="D17" s="52">
        <v>202500003186</v>
      </c>
      <c r="E17" s="51" t="s">
        <v>44</v>
      </c>
      <c r="F17" s="30" t="s">
        <v>53</v>
      </c>
      <c r="G17" s="37">
        <v>3</v>
      </c>
      <c r="H17" s="51">
        <v>3</v>
      </c>
      <c r="I17" s="51">
        <v>3</v>
      </c>
      <c r="J17" s="51">
        <v>3</v>
      </c>
      <c r="K17" s="49">
        <f>SUM(Table623[[#This Row],[SARMC 1]:[SARMC 4]])</f>
        <v>12</v>
      </c>
      <c r="L17" s="37">
        <v>29</v>
      </c>
      <c r="M17" s="51">
        <v>29</v>
      </c>
      <c r="N17" s="38">
        <v>29</v>
      </c>
      <c r="O17" s="37">
        <v>0</v>
      </c>
      <c r="P17" s="51">
        <v>0</v>
      </c>
      <c r="Q17" s="38">
        <v>0</v>
      </c>
      <c r="R17" s="37">
        <v>0</v>
      </c>
      <c r="S17" s="51">
        <v>0</v>
      </c>
      <c r="T17" s="38">
        <v>0</v>
      </c>
      <c r="U17" s="37">
        <v>0</v>
      </c>
      <c r="V17" s="51">
        <v>0</v>
      </c>
      <c r="W17" s="51">
        <v>0</v>
      </c>
      <c r="X17" s="38">
        <v>0</v>
      </c>
      <c r="Y17" s="37">
        <f>LARGE((Table623[[#This Row],[K1]:[Z4]]),1)</f>
        <v>29</v>
      </c>
      <c r="Z17" s="51">
        <f>LARGE((Table623[[#This Row],[K1]:[Z4]]),2)</f>
        <v>29</v>
      </c>
      <c r="AA17" s="51">
        <f>LARGE((Table623[[#This Row],[K1]:[Z4]]),3)</f>
        <v>29</v>
      </c>
      <c r="AB17" s="51">
        <f>LARGE((Table623[[#This Row],[K1]:[Z4]]),4)</f>
        <v>0</v>
      </c>
      <c r="AC17" s="51">
        <f>LARGE((Table623[[#This Row],[K1]:[Z4]]),5)</f>
        <v>0</v>
      </c>
      <c r="AD17" s="51">
        <f>LARGE((Table623[[#This Row],[K1]:[Z4]]),6)</f>
        <v>0</v>
      </c>
      <c r="AE17" s="51">
        <f>LARGE((Table623[[#This Row],[K1]:[Z4]]),7)</f>
        <v>0</v>
      </c>
      <c r="AF17" s="51">
        <f>LARGE((Table623[[#This Row],[K1]:[Z4]]),8)</f>
        <v>0</v>
      </c>
      <c r="AG17" s="51">
        <f>LARGE((Table623[[#This Row],[K1]:[Z4]]),9)</f>
        <v>0</v>
      </c>
      <c r="AH17" s="38">
        <f>LARGE((Table623[[#This Row],[K1]:[Z4]]),10)</f>
        <v>0</v>
      </c>
      <c r="AI17" s="45">
        <f t="shared" si="0"/>
        <v>87</v>
      </c>
      <c r="AJ17" s="37">
        <f t="shared" si="1"/>
        <v>99</v>
      </c>
      <c r="AK17" s="11"/>
    </row>
    <row r="18" spans="1:37" ht="14.4" customHeight="1" x14ac:dyDescent="0.3">
      <c r="A18" s="59">
        <v>15</v>
      </c>
      <c r="B18" s="51">
        <v>651</v>
      </c>
      <c r="C18" t="s">
        <v>502</v>
      </c>
      <c r="D18" s="52"/>
      <c r="E18" s="51" t="s">
        <v>36</v>
      </c>
      <c r="F18" s="30" t="s">
        <v>55</v>
      </c>
      <c r="G18" s="37">
        <v>0</v>
      </c>
      <c r="H18" s="51">
        <v>0</v>
      </c>
      <c r="I18" s="51">
        <v>0</v>
      </c>
      <c r="J18" s="51">
        <v>0</v>
      </c>
      <c r="K18" s="49">
        <f>SUM(Table623[[#This Row],[SARMC 1]:[SARMC 4]])</f>
        <v>0</v>
      </c>
      <c r="L18" s="37">
        <v>0</v>
      </c>
      <c r="M18" s="51">
        <v>0</v>
      </c>
      <c r="N18" s="38">
        <v>0</v>
      </c>
      <c r="O18" s="37">
        <v>0</v>
      </c>
      <c r="P18" s="51">
        <v>0</v>
      </c>
      <c r="Q18" s="38">
        <v>0</v>
      </c>
      <c r="R18" s="37">
        <v>0</v>
      </c>
      <c r="S18" s="51">
        <v>0</v>
      </c>
      <c r="T18" s="38">
        <v>0</v>
      </c>
      <c r="U18" s="37">
        <v>20</v>
      </c>
      <c r="V18" s="51">
        <v>20</v>
      </c>
      <c r="W18" s="51">
        <v>21</v>
      </c>
      <c r="X18" s="38">
        <v>22</v>
      </c>
      <c r="Y18" s="37">
        <f>LARGE((Table623[[#This Row],[K1]:[Z4]]),1)</f>
        <v>22</v>
      </c>
      <c r="Z18" s="51">
        <f>LARGE((Table623[[#This Row],[K1]:[Z4]]),2)</f>
        <v>21</v>
      </c>
      <c r="AA18" s="51">
        <f>LARGE((Table623[[#This Row],[K1]:[Z4]]),3)</f>
        <v>20</v>
      </c>
      <c r="AB18" s="51">
        <f>LARGE((Table623[[#This Row],[K1]:[Z4]]),4)</f>
        <v>20</v>
      </c>
      <c r="AC18" s="51">
        <f>LARGE((Table623[[#This Row],[K1]:[Z4]]),5)</f>
        <v>0</v>
      </c>
      <c r="AD18" s="51">
        <f>LARGE((Table623[[#This Row],[K1]:[Z4]]),6)</f>
        <v>0</v>
      </c>
      <c r="AE18" s="51">
        <f>LARGE((Table623[[#This Row],[K1]:[Z4]]),7)</f>
        <v>0</v>
      </c>
      <c r="AF18" s="51">
        <f>LARGE((Table623[[#This Row],[K1]:[Z4]]),8)</f>
        <v>0</v>
      </c>
      <c r="AG18" s="51">
        <f>LARGE((Table623[[#This Row],[K1]:[Z4]]),9)</f>
        <v>0</v>
      </c>
      <c r="AH18" s="38">
        <f>LARGE((Table623[[#This Row],[K1]:[Z4]]),10)</f>
        <v>0</v>
      </c>
      <c r="AI18" s="45">
        <f t="shared" si="0"/>
        <v>83</v>
      </c>
      <c r="AJ18" s="37">
        <f t="shared" si="1"/>
        <v>83</v>
      </c>
      <c r="AK18" s="11"/>
    </row>
    <row r="19" spans="1:37" ht="14.4" x14ac:dyDescent="0.3">
      <c r="A19" s="59">
        <v>16</v>
      </c>
      <c r="B19" s="51">
        <v>654</v>
      </c>
      <c r="C19" t="s">
        <v>376</v>
      </c>
      <c r="D19" s="52">
        <v>45996</v>
      </c>
      <c r="E19" s="51" t="s">
        <v>44</v>
      </c>
      <c r="F19" s="30" t="s">
        <v>333</v>
      </c>
      <c r="G19" s="37">
        <v>3</v>
      </c>
      <c r="H19" s="51">
        <v>0</v>
      </c>
      <c r="I19" s="51">
        <v>0</v>
      </c>
      <c r="J19" s="51">
        <v>0</v>
      </c>
      <c r="K19" s="49">
        <f>SUM(Table623[[#This Row],[SARMC 1]:[SARMC 4]])</f>
        <v>3</v>
      </c>
      <c r="L19" s="37">
        <v>21</v>
      </c>
      <c r="M19" s="51">
        <v>27</v>
      </c>
      <c r="N19" s="38">
        <v>24</v>
      </c>
      <c r="O19" s="37">
        <v>0</v>
      </c>
      <c r="P19" s="51">
        <v>0</v>
      </c>
      <c r="Q19" s="38">
        <v>0</v>
      </c>
      <c r="R19" s="37">
        <v>0</v>
      </c>
      <c r="S19" s="51">
        <v>0</v>
      </c>
      <c r="T19" s="38">
        <v>0</v>
      </c>
      <c r="U19" s="37">
        <v>0</v>
      </c>
      <c r="V19" s="51">
        <v>0</v>
      </c>
      <c r="W19" s="51">
        <v>0</v>
      </c>
      <c r="X19" s="38">
        <v>0</v>
      </c>
      <c r="Y19" s="37">
        <f>LARGE((Table623[[#This Row],[K1]:[Z4]]),1)</f>
        <v>27</v>
      </c>
      <c r="Z19" s="51">
        <f>LARGE((Table623[[#This Row],[K1]:[Z4]]),2)</f>
        <v>24</v>
      </c>
      <c r="AA19" s="51">
        <f>LARGE((Table623[[#This Row],[K1]:[Z4]]),3)</f>
        <v>21</v>
      </c>
      <c r="AB19" s="51">
        <f>LARGE((Table623[[#This Row],[K1]:[Z4]]),4)</f>
        <v>0</v>
      </c>
      <c r="AC19" s="51">
        <f>LARGE((Table623[[#This Row],[K1]:[Z4]]),5)</f>
        <v>0</v>
      </c>
      <c r="AD19" s="51">
        <f>LARGE((Table623[[#This Row],[K1]:[Z4]]),6)</f>
        <v>0</v>
      </c>
      <c r="AE19" s="51">
        <f>LARGE((Table623[[#This Row],[K1]:[Z4]]),7)</f>
        <v>0</v>
      </c>
      <c r="AF19" s="51">
        <f>LARGE((Table623[[#This Row],[K1]:[Z4]]),8)</f>
        <v>0</v>
      </c>
      <c r="AG19" s="51">
        <f>LARGE((Table623[[#This Row],[K1]:[Z4]]),9)</f>
        <v>0</v>
      </c>
      <c r="AH19" s="38">
        <f>LARGE((Table623[[#This Row],[K1]:[Z4]]),10)</f>
        <v>0</v>
      </c>
      <c r="AI19" s="45">
        <f t="shared" si="0"/>
        <v>72</v>
      </c>
      <c r="AJ19" s="37">
        <f t="shared" si="1"/>
        <v>75</v>
      </c>
      <c r="AK19" s="11"/>
    </row>
    <row r="20" spans="1:37" ht="14.4" x14ac:dyDescent="0.3">
      <c r="A20" s="59">
        <v>17</v>
      </c>
      <c r="B20" s="51">
        <v>694</v>
      </c>
      <c r="C20" t="s">
        <v>479</v>
      </c>
      <c r="D20" s="52" t="s">
        <v>480</v>
      </c>
      <c r="E20" s="51" t="s">
        <v>477</v>
      </c>
      <c r="F20" s="30" t="s">
        <v>331</v>
      </c>
      <c r="G20" s="37">
        <v>0</v>
      </c>
      <c r="H20" s="51">
        <v>0</v>
      </c>
      <c r="I20" s="51">
        <v>0</v>
      </c>
      <c r="J20" s="51">
        <v>0</v>
      </c>
      <c r="K20" s="49">
        <f>SUM(Table623[[#This Row],[SARMC 1]:[SARMC 4]])</f>
        <v>0</v>
      </c>
      <c r="L20" s="37">
        <v>0</v>
      </c>
      <c r="M20" s="51">
        <v>0</v>
      </c>
      <c r="N20" s="38">
        <v>0</v>
      </c>
      <c r="O20" s="37">
        <v>0</v>
      </c>
      <c r="P20" s="51">
        <v>0</v>
      </c>
      <c r="Q20" s="38">
        <v>0</v>
      </c>
      <c r="R20" s="37">
        <v>20</v>
      </c>
      <c r="S20" s="51">
        <v>22</v>
      </c>
      <c r="T20" s="38">
        <v>20</v>
      </c>
      <c r="U20" s="37">
        <v>0</v>
      </c>
      <c r="V20" s="51">
        <v>0</v>
      </c>
      <c r="W20" s="51">
        <v>0</v>
      </c>
      <c r="X20" s="38">
        <v>0</v>
      </c>
      <c r="Y20" s="37">
        <f>LARGE((Table623[[#This Row],[K1]:[Z4]]),1)</f>
        <v>22</v>
      </c>
      <c r="Z20" s="51">
        <f>LARGE((Table623[[#This Row],[K1]:[Z4]]),2)</f>
        <v>20</v>
      </c>
      <c r="AA20" s="51">
        <f>LARGE((Table623[[#This Row],[K1]:[Z4]]),3)</f>
        <v>20</v>
      </c>
      <c r="AB20" s="51">
        <f>LARGE((Table623[[#This Row],[K1]:[Z4]]),4)</f>
        <v>0</v>
      </c>
      <c r="AC20" s="51">
        <f>LARGE((Table623[[#This Row],[K1]:[Z4]]),5)</f>
        <v>0</v>
      </c>
      <c r="AD20" s="51">
        <f>LARGE((Table623[[#This Row],[K1]:[Z4]]),6)</f>
        <v>0</v>
      </c>
      <c r="AE20" s="51">
        <f>LARGE((Table623[[#This Row],[K1]:[Z4]]),7)</f>
        <v>0</v>
      </c>
      <c r="AF20" s="51">
        <f>LARGE((Table623[[#This Row],[K1]:[Z4]]),8)</f>
        <v>0</v>
      </c>
      <c r="AG20" s="51">
        <f>LARGE((Table623[[#This Row],[K1]:[Z4]]),9)</f>
        <v>0</v>
      </c>
      <c r="AH20" s="38">
        <f>LARGE((Table623[[#This Row],[K1]:[Z4]]),10)</f>
        <v>0</v>
      </c>
      <c r="AI20" s="45">
        <f t="shared" si="0"/>
        <v>62</v>
      </c>
      <c r="AJ20" s="37">
        <f t="shared" si="1"/>
        <v>62</v>
      </c>
      <c r="AK20" s="11"/>
    </row>
    <row r="21" spans="1:37" ht="14.4" x14ac:dyDescent="0.3">
      <c r="A21" s="59">
        <v>18</v>
      </c>
      <c r="B21" s="51">
        <v>644</v>
      </c>
      <c r="C21" t="s">
        <v>481</v>
      </c>
      <c r="D21" s="52" t="s">
        <v>482</v>
      </c>
      <c r="E21" s="51" t="s">
        <v>415</v>
      </c>
      <c r="F21" s="30" t="s">
        <v>332</v>
      </c>
      <c r="G21" s="37">
        <v>0</v>
      </c>
      <c r="H21" s="51">
        <v>0</v>
      </c>
      <c r="I21" s="51">
        <v>0</v>
      </c>
      <c r="J21" s="51">
        <v>0</v>
      </c>
      <c r="K21" s="49">
        <f>SUM(Table623[[#This Row],[SARMC 1]:[SARMC 4]])</f>
        <v>0</v>
      </c>
      <c r="L21" s="37">
        <v>0</v>
      </c>
      <c r="M21" s="51">
        <v>0</v>
      </c>
      <c r="N21" s="38">
        <v>0</v>
      </c>
      <c r="O21" s="37">
        <v>0</v>
      </c>
      <c r="P21" s="51">
        <v>0</v>
      </c>
      <c r="Q21" s="38">
        <v>0</v>
      </c>
      <c r="R21" s="37">
        <v>15</v>
      </c>
      <c r="S21" s="51">
        <v>17</v>
      </c>
      <c r="T21" s="38">
        <v>21</v>
      </c>
      <c r="U21" s="37">
        <v>0</v>
      </c>
      <c r="V21" s="51">
        <v>0</v>
      </c>
      <c r="W21" s="51">
        <v>0</v>
      </c>
      <c r="X21" s="38">
        <v>0</v>
      </c>
      <c r="Y21" s="37">
        <f>LARGE((Table623[[#This Row],[K1]:[Z4]]),1)</f>
        <v>21</v>
      </c>
      <c r="Z21" s="51">
        <f>LARGE((Table623[[#This Row],[K1]:[Z4]]),2)</f>
        <v>17</v>
      </c>
      <c r="AA21" s="51">
        <f>LARGE((Table623[[#This Row],[K1]:[Z4]]),3)</f>
        <v>15</v>
      </c>
      <c r="AB21" s="51">
        <f>LARGE((Table623[[#This Row],[K1]:[Z4]]),4)</f>
        <v>0</v>
      </c>
      <c r="AC21" s="51">
        <f>LARGE((Table623[[#This Row],[K1]:[Z4]]),5)</f>
        <v>0</v>
      </c>
      <c r="AD21" s="51">
        <f>LARGE((Table623[[#This Row],[K1]:[Z4]]),6)</f>
        <v>0</v>
      </c>
      <c r="AE21" s="51">
        <f>LARGE((Table623[[#This Row],[K1]:[Z4]]),7)</f>
        <v>0</v>
      </c>
      <c r="AF21" s="51">
        <f>LARGE((Table623[[#This Row],[K1]:[Z4]]),8)</f>
        <v>0</v>
      </c>
      <c r="AG21" s="51">
        <f>LARGE((Table623[[#This Row],[K1]:[Z4]]),9)</f>
        <v>0</v>
      </c>
      <c r="AH21" s="38">
        <f>LARGE((Table623[[#This Row],[K1]:[Z4]]),10)</f>
        <v>0</v>
      </c>
      <c r="AI21" s="45">
        <f t="shared" si="0"/>
        <v>53</v>
      </c>
      <c r="AJ21" s="37">
        <f t="shared" si="1"/>
        <v>53</v>
      </c>
      <c r="AK21" s="11"/>
    </row>
    <row r="22" spans="1:37" ht="14.4" x14ac:dyDescent="0.3">
      <c r="A22" s="59">
        <v>19</v>
      </c>
      <c r="B22" s="51">
        <v>631</v>
      </c>
      <c r="C22" t="s">
        <v>85</v>
      </c>
      <c r="D22" s="52">
        <v>44874</v>
      </c>
      <c r="E22" s="51" t="s">
        <v>36</v>
      </c>
      <c r="F22" s="30" t="s">
        <v>53</v>
      </c>
      <c r="G22" s="37">
        <v>1</v>
      </c>
      <c r="H22" s="51">
        <v>0</v>
      </c>
      <c r="I22" s="51">
        <v>0</v>
      </c>
      <c r="J22" s="51">
        <v>3</v>
      </c>
      <c r="K22" s="49">
        <f>SUM(Table623[[#This Row],[SARMC 1]:[SARMC 4]])</f>
        <v>4</v>
      </c>
      <c r="L22" s="37">
        <v>22</v>
      </c>
      <c r="M22" s="51">
        <v>0</v>
      </c>
      <c r="N22" s="38">
        <v>0</v>
      </c>
      <c r="O22" s="37">
        <v>0</v>
      </c>
      <c r="P22" s="51">
        <v>0</v>
      </c>
      <c r="Q22" s="38">
        <v>0</v>
      </c>
      <c r="R22" s="37">
        <v>0</v>
      </c>
      <c r="S22" s="51">
        <v>0</v>
      </c>
      <c r="T22" s="38">
        <v>0</v>
      </c>
      <c r="U22" s="37">
        <v>0</v>
      </c>
      <c r="V22" s="51">
        <v>0</v>
      </c>
      <c r="W22" s="51">
        <v>0</v>
      </c>
      <c r="X22" s="38">
        <v>0</v>
      </c>
      <c r="Y22" s="37">
        <f>LARGE((Table623[[#This Row],[K1]:[Z4]]),1)</f>
        <v>22</v>
      </c>
      <c r="Z22" s="51">
        <f>LARGE((Table623[[#This Row],[K1]:[Z4]]),2)</f>
        <v>0</v>
      </c>
      <c r="AA22" s="51">
        <f>LARGE((Table623[[#This Row],[K1]:[Z4]]),3)</f>
        <v>0</v>
      </c>
      <c r="AB22" s="51">
        <f>LARGE((Table623[[#This Row],[K1]:[Z4]]),4)</f>
        <v>0</v>
      </c>
      <c r="AC22" s="51">
        <f>LARGE((Table623[[#This Row],[K1]:[Z4]]),5)</f>
        <v>0</v>
      </c>
      <c r="AD22" s="51">
        <f>LARGE((Table623[[#This Row],[K1]:[Z4]]),6)</f>
        <v>0</v>
      </c>
      <c r="AE22" s="51">
        <f>LARGE((Table623[[#This Row],[K1]:[Z4]]),7)</f>
        <v>0</v>
      </c>
      <c r="AF22" s="51">
        <f>LARGE((Table623[[#This Row],[K1]:[Z4]]),8)</f>
        <v>0</v>
      </c>
      <c r="AG22" s="51">
        <f>LARGE((Table623[[#This Row],[K1]:[Z4]]),9)</f>
        <v>0</v>
      </c>
      <c r="AH22" s="38">
        <f>LARGE((Table623[[#This Row],[K1]:[Z4]]),10)</f>
        <v>0</v>
      </c>
      <c r="AI22" s="45">
        <f t="shared" si="0"/>
        <v>22</v>
      </c>
      <c r="AJ22" s="37">
        <f t="shared" si="1"/>
        <v>26</v>
      </c>
      <c r="AK22" s="11"/>
    </row>
    <row r="23" spans="1:37" ht="14.4" x14ac:dyDescent="0.3">
      <c r="A23" s="59">
        <v>20</v>
      </c>
      <c r="B23" s="51">
        <v>684</v>
      </c>
      <c r="C23" t="s">
        <v>108</v>
      </c>
      <c r="D23" s="52">
        <v>45254</v>
      </c>
      <c r="E23" s="51" t="s">
        <v>36</v>
      </c>
      <c r="F23" s="30" t="s">
        <v>53</v>
      </c>
      <c r="G23" s="37">
        <v>3</v>
      </c>
      <c r="H23" s="51">
        <v>0</v>
      </c>
      <c r="I23" s="51">
        <v>0</v>
      </c>
      <c r="J23" s="51">
        <v>0</v>
      </c>
      <c r="K23" s="49">
        <f>SUM(Table623[[#This Row],[SARMC 1]:[SARMC 4]])</f>
        <v>3</v>
      </c>
      <c r="L23" s="37">
        <v>18</v>
      </c>
      <c r="M23" s="51">
        <v>0</v>
      </c>
      <c r="N23" s="38">
        <v>0</v>
      </c>
      <c r="O23" s="37">
        <v>0</v>
      </c>
      <c r="P23" s="51">
        <v>0</v>
      </c>
      <c r="Q23" s="38">
        <v>0</v>
      </c>
      <c r="R23" s="37">
        <v>0</v>
      </c>
      <c r="S23" s="51">
        <v>0</v>
      </c>
      <c r="T23" s="38">
        <v>0</v>
      </c>
      <c r="U23" s="37">
        <v>0</v>
      </c>
      <c r="V23" s="51">
        <v>0</v>
      </c>
      <c r="W23" s="51">
        <v>0</v>
      </c>
      <c r="X23" s="38">
        <v>0</v>
      </c>
      <c r="Y23" s="37">
        <f>LARGE((Table623[[#This Row],[K1]:[Z4]]),1)</f>
        <v>18</v>
      </c>
      <c r="Z23" s="51">
        <f>LARGE((Table623[[#This Row],[K1]:[Z4]]),2)</f>
        <v>0</v>
      </c>
      <c r="AA23" s="51">
        <f>LARGE((Table623[[#This Row],[K1]:[Z4]]),3)</f>
        <v>0</v>
      </c>
      <c r="AB23" s="51">
        <f>LARGE((Table623[[#This Row],[K1]:[Z4]]),4)</f>
        <v>0</v>
      </c>
      <c r="AC23" s="51">
        <f>LARGE((Table623[[#This Row],[K1]:[Z4]]),5)</f>
        <v>0</v>
      </c>
      <c r="AD23" s="51">
        <f>LARGE((Table623[[#This Row],[K1]:[Z4]]),6)</f>
        <v>0</v>
      </c>
      <c r="AE23" s="51">
        <f>LARGE((Table623[[#This Row],[K1]:[Z4]]),7)</f>
        <v>0</v>
      </c>
      <c r="AF23" s="51">
        <f>LARGE((Table623[[#This Row],[K1]:[Z4]]),8)</f>
        <v>0</v>
      </c>
      <c r="AG23" s="51">
        <f>LARGE((Table623[[#This Row],[K1]:[Z4]]),9)</f>
        <v>0</v>
      </c>
      <c r="AH23" s="38">
        <f>LARGE((Table623[[#This Row],[K1]:[Z4]]),10)</f>
        <v>0</v>
      </c>
      <c r="AI23" s="45">
        <f t="shared" si="0"/>
        <v>18</v>
      </c>
      <c r="AJ23" s="37">
        <f t="shared" si="1"/>
        <v>21</v>
      </c>
      <c r="AK23" s="11"/>
    </row>
    <row r="24" spans="1:37" ht="14.4" x14ac:dyDescent="0.3">
      <c r="A24" s="59">
        <v>21</v>
      </c>
      <c r="B24" s="51">
        <v>632</v>
      </c>
      <c r="C24" t="s">
        <v>87</v>
      </c>
      <c r="D24" s="52">
        <v>44872</v>
      </c>
      <c r="E24" s="51" t="s">
        <v>36</v>
      </c>
      <c r="F24" s="30" t="s">
        <v>53</v>
      </c>
      <c r="G24" s="37">
        <v>3</v>
      </c>
      <c r="H24" s="51">
        <v>0</v>
      </c>
      <c r="I24" s="51">
        <v>0</v>
      </c>
      <c r="J24" s="51">
        <v>3</v>
      </c>
      <c r="K24" s="49">
        <f>SUM(Table623[[#This Row],[SARMC 1]:[SARMC 4]])</f>
        <v>6</v>
      </c>
      <c r="L24" s="37">
        <v>13</v>
      </c>
      <c r="M24" s="51">
        <v>0</v>
      </c>
      <c r="N24" s="38">
        <v>0</v>
      </c>
      <c r="O24" s="37">
        <v>0</v>
      </c>
      <c r="P24" s="51">
        <v>0</v>
      </c>
      <c r="Q24" s="38">
        <v>0</v>
      </c>
      <c r="R24" s="37">
        <v>0</v>
      </c>
      <c r="S24" s="51">
        <v>0</v>
      </c>
      <c r="T24" s="38">
        <v>0</v>
      </c>
      <c r="U24" s="37">
        <v>0</v>
      </c>
      <c r="V24" s="51">
        <v>0</v>
      </c>
      <c r="W24" s="51">
        <v>0</v>
      </c>
      <c r="X24" s="38">
        <v>0</v>
      </c>
      <c r="Y24" s="37">
        <f>LARGE((Table623[[#This Row],[K1]:[Z4]]),1)</f>
        <v>13</v>
      </c>
      <c r="Z24" s="51">
        <f>LARGE((Table623[[#This Row],[K1]:[Z4]]),2)</f>
        <v>0</v>
      </c>
      <c r="AA24" s="51">
        <f>LARGE((Table623[[#This Row],[K1]:[Z4]]),3)</f>
        <v>0</v>
      </c>
      <c r="AB24" s="51">
        <f>LARGE((Table623[[#This Row],[K1]:[Z4]]),4)</f>
        <v>0</v>
      </c>
      <c r="AC24" s="51">
        <f>LARGE((Table623[[#This Row],[K1]:[Z4]]),5)</f>
        <v>0</v>
      </c>
      <c r="AD24" s="51">
        <f>LARGE((Table623[[#This Row],[K1]:[Z4]]),6)</f>
        <v>0</v>
      </c>
      <c r="AE24" s="51">
        <f>LARGE((Table623[[#This Row],[K1]:[Z4]]),7)</f>
        <v>0</v>
      </c>
      <c r="AF24" s="51">
        <f>LARGE((Table623[[#This Row],[K1]:[Z4]]),8)</f>
        <v>0</v>
      </c>
      <c r="AG24" s="51">
        <f>LARGE((Table623[[#This Row],[K1]:[Z4]]),9)</f>
        <v>0</v>
      </c>
      <c r="AH24" s="38">
        <f>LARGE((Table623[[#This Row],[K1]:[Z4]]),10)</f>
        <v>0</v>
      </c>
      <c r="AI24" s="45">
        <f t="shared" si="0"/>
        <v>13</v>
      </c>
      <c r="AJ24" s="37">
        <f t="shared" si="1"/>
        <v>19</v>
      </c>
      <c r="AK24" s="11"/>
    </row>
    <row r="25" spans="1:37" ht="14.4" x14ac:dyDescent="0.3">
      <c r="A25" s="59">
        <v>22</v>
      </c>
      <c r="B25" s="51">
        <v>678</v>
      </c>
      <c r="C25" t="s">
        <v>104</v>
      </c>
      <c r="D25" s="52" t="s">
        <v>105</v>
      </c>
      <c r="E25" s="51" t="s">
        <v>44</v>
      </c>
      <c r="F25" s="30" t="s">
        <v>317</v>
      </c>
      <c r="G25" s="37">
        <v>3</v>
      </c>
      <c r="H25" s="51">
        <v>3</v>
      </c>
      <c r="I25" s="51">
        <v>3</v>
      </c>
      <c r="J25" s="51">
        <v>3</v>
      </c>
      <c r="K25" s="49">
        <f>SUM(Table623[[#This Row],[SARMC 1]:[SARMC 4]])</f>
        <v>12</v>
      </c>
      <c r="L25" s="37">
        <v>0</v>
      </c>
      <c r="M25" s="51">
        <v>0</v>
      </c>
      <c r="N25" s="38">
        <v>0</v>
      </c>
      <c r="O25" s="37">
        <v>0</v>
      </c>
      <c r="P25" s="51">
        <v>0</v>
      </c>
      <c r="Q25" s="38">
        <v>0</v>
      </c>
      <c r="R25" s="37">
        <v>0</v>
      </c>
      <c r="S25" s="51">
        <v>0</v>
      </c>
      <c r="T25" s="38">
        <v>0</v>
      </c>
      <c r="U25" s="37">
        <v>0</v>
      </c>
      <c r="V25" s="51">
        <v>0</v>
      </c>
      <c r="W25" s="51">
        <v>0</v>
      </c>
      <c r="X25" s="38">
        <v>0</v>
      </c>
      <c r="Y25" s="37">
        <f>LARGE((Table623[[#This Row],[K1]:[Z4]]),1)</f>
        <v>0</v>
      </c>
      <c r="Z25" s="51">
        <f>LARGE((Table623[[#This Row],[K1]:[Z4]]),2)</f>
        <v>0</v>
      </c>
      <c r="AA25" s="51">
        <f>LARGE((Table623[[#This Row],[K1]:[Z4]]),3)</f>
        <v>0</v>
      </c>
      <c r="AB25" s="51">
        <f>LARGE((Table623[[#This Row],[K1]:[Z4]]),4)</f>
        <v>0</v>
      </c>
      <c r="AC25" s="51">
        <f>LARGE((Table623[[#This Row],[K1]:[Z4]]),5)</f>
        <v>0</v>
      </c>
      <c r="AD25" s="51">
        <f>LARGE((Table623[[#This Row],[K1]:[Z4]]),6)</f>
        <v>0</v>
      </c>
      <c r="AE25" s="51">
        <f>LARGE((Table623[[#This Row],[K1]:[Z4]]),7)</f>
        <v>0</v>
      </c>
      <c r="AF25" s="51">
        <f>LARGE((Table623[[#This Row],[K1]:[Z4]]),8)</f>
        <v>0</v>
      </c>
      <c r="AG25" s="51">
        <f>LARGE((Table623[[#This Row],[K1]:[Z4]]),9)</f>
        <v>0</v>
      </c>
      <c r="AH25" s="38">
        <f>LARGE((Table623[[#This Row],[K1]:[Z4]]),10)</f>
        <v>0</v>
      </c>
      <c r="AI25" s="45">
        <f t="shared" si="0"/>
        <v>0</v>
      </c>
      <c r="AJ25" s="37">
        <f t="shared" si="1"/>
        <v>12</v>
      </c>
      <c r="AK25" s="11"/>
    </row>
    <row r="26" spans="1:37" ht="14.4" customHeight="1" x14ac:dyDescent="0.3">
      <c r="A26" s="59">
        <v>23</v>
      </c>
      <c r="B26" s="51">
        <v>681</v>
      </c>
      <c r="C26" t="s">
        <v>42</v>
      </c>
      <c r="D26" s="52">
        <v>0</v>
      </c>
      <c r="E26" s="51" t="s">
        <v>44</v>
      </c>
      <c r="F26" s="30" t="s">
        <v>53</v>
      </c>
      <c r="G26" s="37">
        <v>3</v>
      </c>
      <c r="H26" s="51">
        <v>3</v>
      </c>
      <c r="I26" s="51">
        <v>3</v>
      </c>
      <c r="J26" s="51">
        <v>3</v>
      </c>
      <c r="K26" s="49">
        <f>SUM(Table623[[#This Row],[SARMC 1]:[SARMC 4]])</f>
        <v>12</v>
      </c>
      <c r="L26" s="37">
        <v>0</v>
      </c>
      <c r="M26" s="51">
        <v>0</v>
      </c>
      <c r="N26" s="38">
        <v>0</v>
      </c>
      <c r="O26" s="37">
        <v>0</v>
      </c>
      <c r="P26" s="51">
        <v>0</v>
      </c>
      <c r="Q26" s="38">
        <v>0</v>
      </c>
      <c r="R26" s="37">
        <v>0</v>
      </c>
      <c r="S26" s="51">
        <v>0</v>
      </c>
      <c r="T26" s="38">
        <v>0</v>
      </c>
      <c r="U26" s="37">
        <v>0</v>
      </c>
      <c r="V26" s="51">
        <v>0</v>
      </c>
      <c r="W26" s="51">
        <v>0</v>
      </c>
      <c r="X26" s="38">
        <v>0</v>
      </c>
      <c r="Y26" s="37">
        <f>LARGE((Table623[[#This Row],[K1]:[Z4]]),1)</f>
        <v>0</v>
      </c>
      <c r="Z26" s="51">
        <f>LARGE((Table623[[#This Row],[K1]:[Z4]]),2)</f>
        <v>0</v>
      </c>
      <c r="AA26" s="51">
        <f>LARGE((Table623[[#This Row],[K1]:[Z4]]),3)</f>
        <v>0</v>
      </c>
      <c r="AB26" s="51">
        <f>LARGE((Table623[[#This Row],[K1]:[Z4]]),4)</f>
        <v>0</v>
      </c>
      <c r="AC26" s="51">
        <f>LARGE((Table623[[#This Row],[K1]:[Z4]]),5)</f>
        <v>0</v>
      </c>
      <c r="AD26" s="51">
        <f>LARGE((Table623[[#This Row],[K1]:[Z4]]),6)</f>
        <v>0</v>
      </c>
      <c r="AE26" s="51">
        <f>LARGE((Table623[[#This Row],[K1]:[Z4]]),7)</f>
        <v>0</v>
      </c>
      <c r="AF26" s="51">
        <f>LARGE((Table623[[#This Row],[K1]:[Z4]]),8)</f>
        <v>0</v>
      </c>
      <c r="AG26" s="51">
        <f>LARGE((Table623[[#This Row],[K1]:[Z4]]),9)</f>
        <v>0</v>
      </c>
      <c r="AH26" s="38">
        <f>LARGE((Table623[[#This Row],[K1]:[Z4]]),10)</f>
        <v>0</v>
      </c>
      <c r="AI26" s="45">
        <f t="shared" si="0"/>
        <v>0</v>
      </c>
      <c r="AJ26" s="37">
        <f t="shared" si="1"/>
        <v>12</v>
      </c>
      <c r="AK26" s="11"/>
    </row>
    <row r="27" spans="1:37" ht="14.4" customHeight="1" x14ac:dyDescent="0.3">
      <c r="A27" s="59">
        <v>24</v>
      </c>
      <c r="B27" s="51">
        <v>674</v>
      </c>
      <c r="C27" t="s">
        <v>103</v>
      </c>
      <c r="D27" s="52">
        <v>40843</v>
      </c>
      <c r="E27" s="51" t="s">
        <v>44</v>
      </c>
      <c r="F27" s="30" t="s">
        <v>317</v>
      </c>
      <c r="G27" s="37">
        <v>3</v>
      </c>
      <c r="H27" s="51">
        <v>3</v>
      </c>
      <c r="I27" s="51">
        <v>3</v>
      </c>
      <c r="J27" s="51">
        <v>3</v>
      </c>
      <c r="K27" s="49">
        <f>SUM(Table623[[#This Row],[SARMC 1]:[SARMC 4]])</f>
        <v>12</v>
      </c>
      <c r="L27" s="37">
        <v>0</v>
      </c>
      <c r="M27" s="51">
        <v>0</v>
      </c>
      <c r="N27" s="38">
        <v>0</v>
      </c>
      <c r="O27" s="37">
        <v>0</v>
      </c>
      <c r="P27" s="51">
        <v>0</v>
      </c>
      <c r="Q27" s="38">
        <v>0</v>
      </c>
      <c r="R27" s="37">
        <v>0</v>
      </c>
      <c r="S27" s="51">
        <v>0</v>
      </c>
      <c r="T27" s="38">
        <v>0</v>
      </c>
      <c r="U27" s="37">
        <v>0</v>
      </c>
      <c r="V27" s="51">
        <v>0</v>
      </c>
      <c r="W27" s="51">
        <v>0</v>
      </c>
      <c r="X27" s="38">
        <v>0</v>
      </c>
      <c r="Y27" s="37">
        <f>LARGE((Table623[[#This Row],[K1]:[Z4]]),1)</f>
        <v>0</v>
      </c>
      <c r="Z27" s="51">
        <f>LARGE((Table623[[#This Row],[K1]:[Z4]]),2)</f>
        <v>0</v>
      </c>
      <c r="AA27" s="51">
        <f>LARGE((Table623[[#This Row],[K1]:[Z4]]),3)</f>
        <v>0</v>
      </c>
      <c r="AB27" s="51">
        <f>LARGE((Table623[[#This Row],[K1]:[Z4]]),4)</f>
        <v>0</v>
      </c>
      <c r="AC27" s="51">
        <f>LARGE((Table623[[#This Row],[K1]:[Z4]]),5)</f>
        <v>0</v>
      </c>
      <c r="AD27" s="51">
        <f>LARGE((Table623[[#This Row],[K1]:[Z4]]),6)</f>
        <v>0</v>
      </c>
      <c r="AE27" s="51">
        <f>LARGE((Table623[[#This Row],[K1]:[Z4]]),7)</f>
        <v>0</v>
      </c>
      <c r="AF27" s="51">
        <f>LARGE((Table623[[#This Row],[K1]:[Z4]]),8)</f>
        <v>0</v>
      </c>
      <c r="AG27" s="51">
        <f>LARGE((Table623[[#This Row],[K1]:[Z4]]),9)</f>
        <v>0</v>
      </c>
      <c r="AH27" s="38">
        <f>LARGE((Table623[[#This Row],[K1]:[Z4]]),10)</f>
        <v>0</v>
      </c>
      <c r="AI27" s="45">
        <f t="shared" si="0"/>
        <v>0</v>
      </c>
      <c r="AJ27" s="37">
        <f t="shared" si="1"/>
        <v>12</v>
      </c>
      <c r="AK27" s="11"/>
    </row>
    <row r="28" spans="1:37" ht="14.4" customHeight="1" x14ac:dyDescent="0.3">
      <c r="A28" s="59">
        <v>25</v>
      </c>
      <c r="B28" s="51">
        <v>647</v>
      </c>
      <c r="C28" t="s">
        <v>98</v>
      </c>
      <c r="D28" s="52">
        <v>42783</v>
      </c>
      <c r="E28" s="51" t="s">
        <v>44</v>
      </c>
      <c r="F28" s="30" t="s">
        <v>331</v>
      </c>
      <c r="G28" s="37">
        <v>2</v>
      </c>
      <c r="H28" s="51">
        <v>3</v>
      </c>
      <c r="I28" s="51">
        <v>3</v>
      </c>
      <c r="J28" s="51">
        <v>3</v>
      </c>
      <c r="K28" s="49">
        <f>SUM(Table623[[#This Row],[SARMC 1]:[SARMC 4]])</f>
        <v>11</v>
      </c>
      <c r="L28" s="37">
        <v>0</v>
      </c>
      <c r="M28" s="51">
        <v>0</v>
      </c>
      <c r="N28" s="38">
        <v>0</v>
      </c>
      <c r="O28" s="37">
        <v>0</v>
      </c>
      <c r="P28" s="51">
        <v>0</v>
      </c>
      <c r="Q28" s="38">
        <v>0</v>
      </c>
      <c r="R28" s="37">
        <v>0</v>
      </c>
      <c r="S28" s="51">
        <v>0</v>
      </c>
      <c r="T28" s="38">
        <v>0</v>
      </c>
      <c r="U28" s="37">
        <v>0</v>
      </c>
      <c r="V28" s="51">
        <v>0</v>
      </c>
      <c r="W28" s="51">
        <v>0</v>
      </c>
      <c r="X28" s="38">
        <v>0</v>
      </c>
      <c r="Y28" s="37">
        <f>LARGE((Table623[[#This Row],[K1]:[Z4]]),1)</f>
        <v>0</v>
      </c>
      <c r="Z28" s="51">
        <f>LARGE((Table623[[#This Row],[K1]:[Z4]]),2)</f>
        <v>0</v>
      </c>
      <c r="AA28" s="51">
        <f>LARGE((Table623[[#This Row],[K1]:[Z4]]),3)</f>
        <v>0</v>
      </c>
      <c r="AB28" s="51">
        <f>LARGE((Table623[[#This Row],[K1]:[Z4]]),4)</f>
        <v>0</v>
      </c>
      <c r="AC28" s="51">
        <f>LARGE((Table623[[#This Row],[K1]:[Z4]]),5)</f>
        <v>0</v>
      </c>
      <c r="AD28" s="51">
        <f>LARGE((Table623[[#This Row],[K1]:[Z4]]),6)</f>
        <v>0</v>
      </c>
      <c r="AE28" s="51">
        <f>LARGE((Table623[[#This Row],[K1]:[Z4]]),7)</f>
        <v>0</v>
      </c>
      <c r="AF28" s="51">
        <f>LARGE((Table623[[#This Row],[K1]:[Z4]]),8)</f>
        <v>0</v>
      </c>
      <c r="AG28" s="51">
        <f>LARGE((Table623[[#This Row],[K1]:[Z4]]),9)</f>
        <v>0</v>
      </c>
      <c r="AH28" s="38">
        <f>LARGE((Table623[[#This Row],[K1]:[Z4]]),10)</f>
        <v>0</v>
      </c>
      <c r="AI28" s="45">
        <f t="shared" si="0"/>
        <v>0</v>
      </c>
      <c r="AJ28" s="37">
        <f t="shared" si="1"/>
        <v>11</v>
      </c>
      <c r="AK28" s="11"/>
    </row>
    <row r="29" spans="1:37" ht="14.4" x14ac:dyDescent="0.3">
      <c r="A29" s="59">
        <v>26</v>
      </c>
      <c r="B29" s="51">
        <v>655</v>
      </c>
      <c r="C29" t="s">
        <v>100</v>
      </c>
      <c r="D29" s="52">
        <v>44293</v>
      </c>
      <c r="E29" s="51" t="s">
        <v>47</v>
      </c>
      <c r="F29" s="30" t="s">
        <v>317</v>
      </c>
      <c r="G29" s="37">
        <v>3</v>
      </c>
      <c r="H29" s="51">
        <v>0</v>
      </c>
      <c r="I29" s="51">
        <v>3</v>
      </c>
      <c r="J29" s="51">
        <v>0</v>
      </c>
      <c r="K29" s="49">
        <f>SUM(Table623[[#This Row],[SARMC 1]:[SARMC 4]])</f>
        <v>6</v>
      </c>
      <c r="L29" s="37">
        <v>0</v>
      </c>
      <c r="M29" s="51">
        <v>0</v>
      </c>
      <c r="N29" s="38">
        <v>0</v>
      </c>
      <c r="O29" s="37">
        <v>0</v>
      </c>
      <c r="P29" s="51">
        <v>0</v>
      </c>
      <c r="Q29" s="38">
        <v>0</v>
      </c>
      <c r="R29" s="37">
        <v>0</v>
      </c>
      <c r="S29" s="51">
        <v>0</v>
      </c>
      <c r="T29" s="38">
        <v>0</v>
      </c>
      <c r="U29" s="37">
        <v>0</v>
      </c>
      <c r="V29" s="51">
        <v>0</v>
      </c>
      <c r="W29" s="51">
        <v>0</v>
      </c>
      <c r="X29" s="38">
        <v>0</v>
      </c>
      <c r="Y29" s="37">
        <f>LARGE((Table623[[#This Row],[K1]:[Z4]]),1)</f>
        <v>0</v>
      </c>
      <c r="Z29" s="51">
        <f>LARGE((Table623[[#This Row],[K1]:[Z4]]),2)</f>
        <v>0</v>
      </c>
      <c r="AA29" s="51">
        <f>LARGE((Table623[[#This Row],[K1]:[Z4]]),3)</f>
        <v>0</v>
      </c>
      <c r="AB29" s="51">
        <f>LARGE((Table623[[#This Row],[K1]:[Z4]]),4)</f>
        <v>0</v>
      </c>
      <c r="AC29" s="51">
        <f>LARGE((Table623[[#This Row],[K1]:[Z4]]),5)</f>
        <v>0</v>
      </c>
      <c r="AD29" s="51">
        <f>LARGE((Table623[[#This Row],[K1]:[Z4]]),6)</f>
        <v>0</v>
      </c>
      <c r="AE29" s="51">
        <f>LARGE((Table623[[#This Row],[K1]:[Z4]]),7)</f>
        <v>0</v>
      </c>
      <c r="AF29" s="51">
        <f>LARGE((Table623[[#This Row],[K1]:[Z4]]),8)</f>
        <v>0</v>
      </c>
      <c r="AG29" s="51">
        <f>LARGE((Table623[[#This Row],[K1]:[Z4]]),9)</f>
        <v>0</v>
      </c>
      <c r="AH29" s="38">
        <f>LARGE((Table623[[#This Row],[K1]:[Z4]]),10)</f>
        <v>0</v>
      </c>
      <c r="AI29" s="45">
        <f t="shared" si="0"/>
        <v>0</v>
      </c>
      <c r="AJ29" s="37">
        <f t="shared" si="1"/>
        <v>6</v>
      </c>
      <c r="AK29" s="11"/>
    </row>
    <row r="30" spans="1:37" ht="14.4" x14ac:dyDescent="0.3">
      <c r="A30" s="59">
        <v>27</v>
      </c>
      <c r="B30" s="47">
        <v>626</v>
      </c>
      <c r="C30" s="73" t="s">
        <v>372</v>
      </c>
      <c r="D30" s="74">
        <v>42194</v>
      </c>
      <c r="E30" s="47" t="s">
        <v>36</v>
      </c>
      <c r="F30" s="75" t="s">
        <v>331</v>
      </c>
      <c r="G30" s="76">
        <v>2</v>
      </c>
      <c r="H30" s="47">
        <v>3</v>
      </c>
      <c r="I30" s="47">
        <v>0</v>
      </c>
      <c r="J30" s="47">
        <v>0</v>
      </c>
      <c r="K30" s="77">
        <f>SUM(Table623[[#This Row],[SARMC 1]:[SARMC 4]])</f>
        <v>5</v>
      </c>
      <c r="L30" s="76">
        <v>0</v>
      </c>
      <c r="M30" s="47">
        <v>0</v>
      </c>
      <c r="N30" s="78">
        <v>0</v>
      </c>
      <c r="O30" s="76">
        <v>0</v>
      </c>
      <c r="P30" s="47">
        <v>0</v>
      </c>
      <c r="Q30" s="78">
        <v>0</v>
      </c>
      <c r="R30" s="76">
        <v>0</v>
      </c>
      <c r="S30" s="47">
        <v>0</v>
      </c>
      <c r="T30" s="78">
        <v>0</v>
      </c>
      <c r="U30" s="76">
        <v>0</v>
      </c>
      <c r="V30" s="47">
        <v>0</v>
      </c>
      <c r="W30" s="47">
        <v>0</v>
      </c>
      <c r="X30" s="78">
        <v>0</v>
      </c>
      <c r="Y30" s="76">
        <f>LARGE((Table623[[#This Row],[K1]:[Z4]]),1)</f>
        <v>0</v>
      </c>
      <c r="Z30" s="47">
        <f>LARGE((Table623[[#This Row],[K1]:[Z4]]),2)</f>
        <v>0</v>
      </c>
      <c r="AA30" s="47">
        <f>LARGE((Table623[[#This Row],[K1]:[Z4]]),3)</f>
        <v>0</v>
      </c>
      <c r="AB30" s="47">
        <f>LARGE((Table623[[#This Row],[K1]:[Z4]]),4)</f>
        <v>0</v>
      </c>
      <c r="AC30" s="47">
        <f>LARGE((Table623[[#This Row],[K1]:[Z4]]),5)</f>
        <v>0</v>
      </c>
      <c r="AD30" s="47">
        <f>LARGE((Table623[[#This Row],[K1]:[Z4]]),6)</f>
        <v>0</v>
      </c>
      <c r="AE30" s="47">
        <f>LARGE((Table623[[#This Row],[K1]:[Z4]]),7)</f>
        <v>0</v>
      </c>
      <c r="AF30" s="47">
        <f>LARGE((Table623[[#This Row],[K1]:[Z4]]),8)</f>
        <v>0</v>
      </c>
      <c r="AG30" s="47">
        <f>LARGE((Table623[[#This Row],[K1]:[Z4]]),9)</f>
        <v>0</v>
      </c>
      <c r="AH30" s="78">
        <f>LARGE((Table623[[#This Row],[K1]:[Z4]]),10)</f>
        <v>0</v>
      </c>
      <c r="AI30" s="79">
        <f t="shared" si="0"/>
        <v>0</v>
      </c>
      <c r="AJ30" s="76">
        <f t="shared" si="1"/>
        <v>5</v>
      </c>
      <c r="AK30" s="11"/>
    </row>
    <row r="31" spans="1:37" ht="14.4" x14ac:dyDescent="0.3">
      <c r="A31" s="59">
        <v>28</v>
      </c>
      <c r="B31" s="51">
        <v>658</v>
      </c>
      <c r="C31" t="s">
        <v>101</v>
      </c>
      <c r="D31" s="52">
        <v>37573</v>
      </c>
      <c r="E31" s="51" t="s">
        <v>36</v>
      </c>
      <c r="F31" s="30" t="s">
        <v>53</v>
      </c>
      <c r="G31" s="37">
        <v>3</v>
      </c>
      <c r="H31" s="51">
        <v>0</v>
      </c>
      <c r="I31" s="51">
        <v>0</v>
      </c>
      <c r="J31" s="51">
        <v>0</v>
      </c>
      <c r="K31" s="49">
        <f>SUM(Table623[[#This Row],[SARMC 1]:[SARMC 4]])</f>
        <v>3</v>
      </c>
      <c r="L31" s="37">
        <v>0</v>
      </c>
      <c r="M31" s="51">
        <v>0</v>
      </c>
      <c r="N31" s="38">
        <v>0</v>
      </c>
      <c r="O31" s="37">
        <v>0</v>
      </c>
      <c r="P31" s="51">
        <v>0</v>
      </c>
      <c r="Q31" s="38">
        <v>0</v>
      </c>
      <c r="R31" s="37">
        <v>0</v>
      </c>
      <c r="S31" s="51">
        <v>0</v>
      </c>
      <c r="T31" s="38">
        <v>0</v>
      </c>
      <c r="U31" s="37">
        <v>0</v>
      </c>
      <c r="V31" s="51">
        <v>0</v>
      </c>
      <c r="W31" s="51">
        <v>0</v>
      </c>
      <c r="X31" s="38">
        <v>0</v>
      </c>
      <c r="Y31" s="37">
        <f>LARGE((Table623[[#This Row],[K1]:[Z4]]),1)</f>
        <v>0</v>
      </c>
      <c r="Z31" s="51">
        <f>LARGE((Table623[[#This Row],[K1]:[Z4]]),2)</f>
        <v>0</v>
      </c>
      <c r="AA31" s="51">
        <f>LARGE((Table623[[#This Row],[K1]:[Z4]]),3)</f>
        <v>0</v>
      </c>
      <c r="AB31" s="51">
        <f>LARGE((Table623[[#This Row],[K1]:[Z4]]),4)</f>
        <v>0</v>
      </c>
      <c r="AC31" s="51">
        <f>LARGE((Table623[[#This Row],[K1]:[Z4]]),5)</f>
        <v>0</v>
      </c>
      <c r="AD31" s="51">
        <f>LARGE((Table623[[#This Row],[K1]:[Z4]]),6)</f>
        <v>0</v>
      </c>
      <c r="AE31" s="51">
        <f>LARGE((Table623[[#This Row],[K1]:[Z4]]),7)</f>
        <v>0</v>
      </c>
      <c r="AF31" s="51">
        <f>LARGE((Table623[[#This Row],[K1]:[Z4]]),8)</f>
        <v>0</v>
      </c>
      <c r="AG31" s="51">
        <f>LARGE((Table623[[#This Row],[K1]:[Z4]]),9)</f>
        <v>0</v>
      </c>
      <c r="AH31" s="38">
        <f>LARGE((Table623[[#This Row],[K1]:[Z4]]),10)</f>
        <v>0</v>
      </c>
      <c r="AI31" s="45">
        <f t="shared" si="0"/>
        <v>0</v>
      </c>
      <c r="AJ31" s="37">
        <f t="shared" si="1"/>
        <v>3</v>
      </c>
      <c r="AK31" s="11"/>
    </row>
    <row r="32" spans="1:37" ht="14.4" x14ac:dyDescent="0.3">
      <c r="A32" s="59">
        <v>29</v>
      </c>
      <c r="B32" s="51">
        <v>627</v>
      </c>
      <c r="C32" t="s">
        <v>377</v>
      </c>
      <c r="D32" s="52">
        <v>42716</v>
      </c>
      <c r="E32" s="51" t="s">
        <v>47</v>
      </c>
      <c r="F32" s="30" t="s">
        <v>332</v>
      </c>
      <c r="G32" s="37">
        <v>3</v>
      </c>
      <c r="H32" s="51">
        <v>0</v>
      </c>
      <c r="I32" s="51">
        <v>0</v>
      </c>
      <c r="J32" s="51">
        <v>0</v>
      </c>
      <c r="K32" s="49">
        <f>SUM(Table623[[#This Row],[SARMC 1]:[SARMC 4]])</f>
        <v>3</v>
      </c>
      <c r="L32" s="37">
        <v>0</v>
      </c>
      <c r="M32" s="51">
        <v>0</v>
      </c>
      <c r="N32" s="38">
        <v>0</v>
      </c>
      <c r="O32" s="37">
        <v>0</v>
      </c>
      <c r="P32" s="51">
        <v>0</v>
      </c>
      <c r="Q32" s="38">
        <v>0</v>
      </c>
      <c r="R32" s="37">
        <v>0</v>
      </c>
      <c r="S32" s="51">
        <v>0</v>
      </c>
      <c r="T32" s="38">
        <v>0</v>
      </c>
      <c r="U32" s="37">
        <v>0</v>
      </c>
      <c r="V32" s="51">
        <v>0</v>
      </c>
      <c r="W32" s="51">
        <v>0</v>
      </c>
      <c r="X32" s="38">
        <v>0</v>
      </c>
      <c r="Y32" s="37">
        <f>LARGE((Table623[[#This Row],[K1]:[Z4]]),1)</f>
        <v>0</v>
      </c>
      <c r="Z32" s="51">
        <f>LARGE((Table623[[#This Row],[K1]:[Z4]]),2)</f>
        <v>0</v>
      </c>
      <c r="AA32" s="51">
        <f>LARGE((Table623[[#This Row],[K1]:[Z4]]),3)</f>
        <v>0</v>
      </c>
      <c r="AB32" s="51">
        <f>LARGE((Table623[[#This Row],[K1]:[Z4]]),4)</f>
        <v>0</v>
      </c>
      <c r="AC32" s="51">
        <f>LARGE((Table623[[#This Row],[K1]:[Z4]]),5)</f>
        <v>0</v>
      </c>
      <c r="AD32" s="51">
        <f>LARGE((Table623[[#This Row],[K1]:[Z4]]),6)</f>
        <v>0</v>
      </c>
      <c r="AE32" s="51">
        <f>LARGE((Table623[[#This Row],[K1]:[Z4]]),7)</f>
        <v>0</v>
      </c>
      <c r="AF32" s="51">
        <f>LARGE((Table623[[#This Row],[K1]:[Z4]]),8)</f>
        <v>0</v>
      </c>
      <c r="AG32" s="51">
        <f>LARGE((Table623[[#This Row],[K1]:[Z4]]),9)</f>
        <v>0</v>
      </c>
      <c r="AH32" s="38">
        <f>LARGE((Table623[[#This Row],[K1]:[Z4]]),10)</f>
        <v>0</v>
      </c>
      <c r="AI32" s="45">
        <f t="shared" si="0"/>
        <v>0</v>
      </c>
      <c r="AJ32" s="37">
        <f t="shared" si="1"/>
        <v>3</v>
      </c>
      <c r="AK32" s="11"/>
    </row>
    <row r="33" spans="1:37" ht="14.4" x14ac:dyDescent="0.3">
      <c r="A33" s="59">
        <v>30</v>
      </c>
      <c r="B33" s="51">
        <v>611</v>
      </c>
      <c r="C33" t="s">
        <v>495</v>
      </c>
      <c r="D33" s="52"/>
      <c r="E33" s="51" t="s">
        <v>36</v>
      </c>
      <c r="F33" s="30"/>
      <c r="G33" s="37">
        <v>0</v>
      </c>
      <c r="H33" s="51">
        <v>0</v>
      </c>
      <c r="I33" s="51">
        <v>0</v>
      </c>
      <c r="J33" s="51">
        <v>3</v>
      </c>
      <c r="K33" s="49">
        <f>SUM(Table623[[#This Row],[SARMC 1]:[SARMC 4]])</f>
        <v>3</v>
      </c>
      <c r="L33" s="37">
        <v>0</v>
      </c>
      <c r="M33" s="51">
        <v>0</v>
      </c>
      <c r="N33" s="38">
        <v>0</v>
      </c>
      <c r="O33" s="37">
        <v>0</v>
      </c>
      <c r="P33" s="51">
        <v>0</v>
      </c>
      <c r="Q33" s="38">
        <v>0</v>
      </c>
      <c r="R33" s="37">
        <v>0</v>
      </c>
      <c r="S33" s="51">
        <v>0</v>
      </c>
      <c r="T33" s="38">
        <v>0</v>
      </c>
      <c r="U33" s="37">
        <v>0</v>
      </c>
      <c r="V33" s="51">
        <v>0</v>
      </c>
      <c r="W33" s="51">
        <v>0</v>
      </c>
      <c r="X33" s="38">
        <v>0</v>
      </c>
      <c r="Y33" s="37">
        <f>LARGE((Table623[[#This Row],[K1]:[Z4]]),1)</f>
        <v>0</v>
      </c>
      <c r="Z33" s="51">
        <f>LARGE((Table623[[#This Row],[K1]:[Z4]]),2)</f>
        <v>0</v>
      </c>
      <c r="AA33" s="51">
        <f>LARGE((Table623[[#This Row],[K1]:[Z4]]),3)</f>
        <v>0</v>
      </c>
      <c r="AB33" s="51">
        <f>LARGE((Table623[[#This Row],[K1]:[Z4]]),4)</f>
        <v>0</v>
      </c>
      <c r="AC33" s="51">
        <f>LARGE((Table623[[#This Row],[K1]:[Z4]]),5)</f>
        <v>0</v>
      </c>
      <c r="AD33" s="51">
        <f>LARGE((Table623[[#This Row],[K1]:[Z4]]),6)</f>
        <v>0</v>
      </c>
      <c r="AE33" s="51">
        <f>LARGE((Table623[[#This Row],[K1]:[Z4]]),7)</f>
        <v>0</v>
      </c>
      <c r="AF33" s="51">
        <f>LARGE((Table623[[#This Row],[K1]:[Z4]]),8)</f>
        <v>0</v>
      </c>
      <c r="AG33" s="51">
        <f>LARGE((Table623[[#This Row],[K1]:[Z4]]),9)</f>
        <v>0</v>
      </c>
      <c r="AH33" s="38">
        <f>LARGE((Table623[[#This Row],[K1]:[Z4]]),10)</f>
        <v>0</v>
      </c>
      <c r="AI33" s="45">
        <f t="shared" si="0"/>
        <v>0</v>
      </c>
      <c r="AJ33" s="37">
        <f t="shared" si="1"/>
        <v>3</v>
      </c>
      <c r="AK33" s="11"/>
    </row>
    <row r="34" spans="1:37" ht="14.4" x14ac:dyDescent="0.3">
      <c r="A34" s="59">
        <v>31</v>
      </c>
      <c r="B34" s="51">
        <v>642</v>
      </c>
      <c r="C34" t="s">
        <v>374</v>
      </c>
      <c r="D34" s="52">
        <v>46214</v>
      </c>
      <c r="E34" s="51" t="s">
        <v>36</v>
      </c>
      <c r="F34" s="30" t="s">
        <v>53</v>
      </c>
      <c r="G34" s="37">
        <v>2</v>
      </c>
      <c r="H34" s="51">
        <v>0</v>
      </c>
      <c r="I34" s="51">
        <v>0</v>
      </c>
      <c r="J34" s="51">
        <v>0</v>
      </c>
      <c r="K34" s="49">
        <f>SUM(Table623[[#This Row],[SARMC 1]:[SARMC 4]])</f>
        <v>2</v>
      </c>
      <c r="L34" s="37">
        <v>0</v>
      </c>
      <c r="M34" s="51">
        <v>0</v>
      </c>
      <c r="N34" s="38">
        <v>0</v>
      </c>
      <c r="O34" s="37">
        <v>0</v>
      </c>
      <c r="P34" s="51">
        <v>0</v>
      </c>
      <c r="Q34" s="38">
        <v>0</v>
      </c>
      <c r="R34" s="37">
        <v>0</v>
      </c>
      <c r="S34" s="51">
        <v>0</v>
      </c>
      <c r="T34" s="38">
        <v>0</v>
      </c>
      <c r="U34" s="37">
        <v>0</v>
      </c>
      <c r="V34" s="51">
        <v>0</v>
      </c>
      <c r="W34" s="51">
        <v>0</v>
      </c>
      <c r="X34" s="38">
        <v>0</v>
      </c>
      <c r="Y34" s="37">
        <f>LARGE((Table623[[#This Row],[K1]:[Z4]]),1)</f>
        <v>0</v>
      </c>
      <c r="Z34" s="51">
        <f>LARGE((Table623[[#This Row],[K1]:[Z4]]),2)</f>
        <v>0</v>
      </c>
      <c r="AA34" s="51">
        <f>LARGE((Table623[[#This Row],[K1]:[Z4]]),3)</f>
        <v>0</v>
      </c>
      <c r="AB34" s="51">
        <f>LARGE((Table623[[#This Row],[K1]:[Z4]]),4)</f>
        <v>0</v>
      </c>
      <c r="AC34" s="51">
        <f>LARGE((Table623[[#This Row],[K1]:[Z4]]),5)</f>
        <v>0</v>
      </c>
      <c r="AD34" s="51">
        <f>LARGE((Table623[[#This Row],[K1]:[Z4]]),6)</f>
        <v>0</v>
      </c>
      <c r="AE34" s="51">
        <f>LARGE((Table623[[#This Row],[K1]:[Z4]]),7)</f>
        <v>0</v>
      </c>
      <c r="AF34" s="51">
        <f>LARGE((Table623[[#This Row],[K1]:[Z4]]),8)</f>
        <v>0</v>
      </c>
      <c r="AG34" s="51">
        <f>LARGE((Table623[[#This Row],[K1]:[Z4]]),9)</f>
        <v>0</v>
      </c>
      <c r="AH34" s="38">
        <f>LARGE((Table623[[#This Row],[K1]:[Z4]]),10)</f>
        <v>0</v>
      </c>
      <c r="AI34" s="45">
        <f t="shared" si="0"/>
        <v>0</v>
      </c>
      <c r="AJ34" s="37">
        <f t="shared" si="1"/>
        <v>2</v>
      </c>
      <c r="AK34" s="11"/>
    </row>
    <row r="35" spans="1:37" ht="14.4" hidden="1" x14ac:dyDescent="0.3">
      <c r="A35" s="59">
        <v>32</v>
      </c>
      <c r="B35" s="51"/>
      <c r="C35">
        <f>_xlfn.XLOOKUP(Table623[[#This Row],[No.]],Sheet2!B:B,Sheet2!C:C)</f>
        <v>0</v>
      </c>
      <c r="D35" s="52">
        <f>_xlfn.XLOOKUP(B35,Sheet2!B:B,Sheet2!G:G)</f>
        <v>0</v>
      </c>
      <c r="E35" s="51">
        <f>_xlfn.XLOOKUP(B35,Sheet2!B:B,Sheet2!H:H)</f>
        <v>0</v>
      </c>
      <c r="F35" s="30">
        <f>_xlfn.XLOOKUP(B35,Sheet2!B:B,Sheet2!D:D)</f>
        <v>0</v>
      </c>
      <c r="G35" s="37">
        <v>0</v>
      </c>
      <c r="H35" s="51">
        <v>0</v>
      </c>
      <c r="I35" s="51">
        <v>0</v>
      </c>
      <c r="J35" s="51">
        <v>0</v>
      </c>
      <c r="K35" s="49">
        <f>SUM(Table623[[#This Row],[SARMC 1]:[SARMC 4]])</f>
        <v>0</v>
      </c>
      <c r="L35" s="37">
        <v>0</v>
      </c>
      <c r="M35" s="51">
        <v>0</v>
      </c>
      <c r="N35" s="38">
        <v>0</v>
      </c>
      <c r="O35" s="37">
        <v>0</v>
      </c>
      <c r="P35" s="51">
        <v>0</v>
      </c>
      <c r="Q35" s="38">
        <v>0</v>
      </c>
      <c r="R35" s="37">
        <v>0</v>
      </c>
      <c r="S35" s="51">
        <v>0</v>
      </c>
      <c r="T35" s="38">
        <v>0</v>
      </c>
      <c r="U35" s="37">
        <v>0</v>
      </c>
      <c r="V35" s="51">
        <v>0</v>
      </c>
      <c r="W35" s="51">
        <v>0</v>
      </c>
      <c r="X35" s="38">
        <v>0</v>
      </c>
      <c r="Y35" s="37">
        <f>LARGE((Table623[[#This Row],[K1]:[Z4]]),1)</f>
        <v>0</v>
      </c>
      <c r="Z35" s="51">
        <f>LARGE((Table623[[#This Row],[K1]:[Z4]]),2)</f>
        <v>0</v>
      </c>
      <c r="AA35" s="51">
        <f>LARGE((Table623[[#This Row],[K1]:[Z4]]),3)</f>
        <v>0</v>
      </c>
      <c r="AB35" s="51">
        <f>LARGE((Table623[[#This Row],[K1]:[Z4]]),4)</f>
        <v>0</v>
      </c>
      <c r="AC35" s="51">
        <f>LARGE((Table623[[#This Row],[K1]:[Z4]]),5)</f>
        <v>0</v>
      </c>
      <c r="AD35" s="51">
        <f>LARGE((Table623[[#This Row],[K1]:[Z4]]),6)</f>
        <v>0</v>
      </c>
      <c r="AE35" s="51">
        <f>LARGE((Table623[[#This Row],[K1]:[Z4]]),7)</f>
        <v>0</v>
      </c>
      <c r="AF35" s="51">
        <f>LARGE((Table623[[#This Row],[K1]:[Z4]]),8)</f>
        <v>0</v>
      </c>
      <c r="AG35" s="51">
        <f>LARGE((Table623[[#This Row],[K1]:[Z4]]),9)</f>
        <v>0</v>
      </c>
      <c r="AH35" s="38">
        <f>LARGE((Table623[[#This Row],[K1]:[Z4]]),10)</f>
        <v>0</v>
      </c>
      <c r="AI35" s="45">
        <f t="shared" si="0"/>
        <v>0</v>
      </c>
      <c r="AJ35" s="37">
        <f t="shared" si="1"/>
        <v>0</v>
      </c>
      <c r="AK35" s="11"/>
    </row>
    <row r="36" spans="1:37" ht="14.4" hidden="1" x14ac:dyDescent="0.3">
      <c r="A36" s="59">
        <v>33</v>
      </c>
      <c r="B36" s="51"/>
      <c r="C36">
        <f>_xlfn.XLOOKUP(Table623[[#This Row],[No.]],Sheet2!B:B,Sheet2!C:C)</f>
        <v>0</v>
      </c>
      <c r="D36" s="52">
        <f>_xlfn.XLOOKUP(B36,Sheet2!B:B,Sheet2!G:G)</f>
        <v>0</v>
      </c>
      <c r="E36" s="51">
        <f>_xlfn.XLOOKUP(B36,Sheet2!B:B,Sheet2!H:H)</f>
        <v>0</v>
      </c>
      <c r="F36" s="30">
        <f>_xlfn.XLOOKUP(B36,Sheet2!B:B,Sheet2!D:D)</f>
        <v>0</v>
      </c>
      <c r="G36" s="37">
        <v>0</v>
      </c>
      <c r="H36" s="51">
        <v>0</v>
      </c>
      <c r="I36" s="51">
        <v>0</v>
      </c>
      <c r="J36" s="51">
        <v>0</v>
      </c>
      <c r="K36" s="49">
        <f>SUM(Table623[[#This Row],[SARMC 1]:[SARMC 4]])</f>
        <v>0</v>
      </c>
      <c r="L36" s="37">
        <v>0</v>
      </c>
      <c r="M36" s="51">
        <v>0</v>
      </c>
      <c r="N36" s="38">
        <v>0</v>
      </c>
      <c r="O36" s="37">
        <v>0</v>
      </c>
      <c r="P36" s="51">
        <v>0</v>
      </c>
      <c r="Q36" s="38">
        <v>0</v>
      </c>
      <c r="R36" s="37">
        <v>0</v>
      </c>
      <c r="S36" s="51">
        <v>0</v>
      </c>
      <c r="T36" s="38">
        <v>0</v>
      </c>
      <c r="U36" s="37">
        <v>0</v>
      </c>
      <c r="V36" s="51">
        <v>0</v>
      </c>
      <c r="W36" s="51">
        <v>0</v>
      </c>
      <c r="X36" s="38">
        <v>0</v>
      </c>
      <c r="Y36" s="37">
        <f>LARGE((Table623[[#This Row],[K1]:[Z4]]),1)</f>
        <v>0</v>
      </c>
      <c r="Z36" s="51">
        <f>LARGE((Table623[[#This Row],[K1]:[Z4]]),2)</f>
        <v>0</v>
      </c>
      <c r="AA36" s="51">
        <f>LARGE((Table623[[#This Row],[K1]:[Z4]]),3)</f>
        <v>0</v>
      </c>
      <c r="AB36" s="51">
        <f>LARGE((Table623[[#This Row],[K1]:[Z4]]),4)</f>
        <v>0</v>
      </c>
      <c r="AC36" s="51">
        <f>LARGE((Table623[[#This Row],[K1]:[Z4]]),5)</f>
        <v>0</v>
      </c>
      <c r="AD36" s="51">
        <f>LARGE((Table623[[#This Row],[K1]:[Z4]]),6)</f>
        <v>0</v>
      </c>
      <c r="AE36" s="51">
        <f>LARGE((Table623[[#This Row],[K1]:[Z4]]),7)</f>
        <v>0</v>
      </c>
      <c r="AF36" s="51">
        <f>LARGE((Table623[[#This Row],[K1]:[Z4]]),8)</f>
        <v>0</v>
      </c>
      <c r="AG36" s="51">
        <f>LARGE((Table623[[#This Row],[K1]:[Z4]]),9)</f>
        <v>0</v>
      </c>
      <c r="AH36" s="38">
        <f>LARGE((Table623[[#This Row],[K1]:[Z4]]),10)</f>
        <v>0</v>
      </c>
      <c r="AI36" s="45">
        <f t="shared" si="0"/>
        <v>0</v>
      </c>
      <c r="AJ36" s="37">
        <f t="shared" si="1"/>
        <v>0</v>
      </c>
      <c r="AK36" s="11"/>
    </row>
    <row r="37" spans="1:37" ht="14.4" hidden="1" x14ac:dyDescent="0.3">
      <c r="A37" s="59">
        <v>34</v>
      </c>
      <c r="B37" s="51"/>
      <c r="C37">
        <f>_xlfn.XLOOKUP(Table623[[#This Row],[No.]],Sheet2!B:B,Sheet2!C:C)</f>
        <v>0</v>
      </c>
      <c r="D37" s="52">
        <f>_xlfn.XLOOKUP(B37,Sheet2!B:B,Sheet2!G:G)</f>
        <v>0</v>
      </c>
      <c r="E37" s="51">
        <f>_xlfn.XLOOKUP(B37,Sheet2!B:B,Sheet2!H:H)</f>
        <v>0</v>
      </c>
      <c r="F37" s="30">
        <f>_xlfn.XLOOKUP(B37,Sheet2!B:B,Sheet2!D:D)</f>
        <v>0</v>
      </c>
      <c r="G37" s="37">
        <v>0</v>
      </c>
      <c r="H37" s="51">
        <v>0</v>
      </c>
      <c r="I37" s="51">
        <v>0</v>
      </c>
      <c r="J37" s="51">
        <v>0</v>
      </c>
      <c r="K37" s="49">
        <f>SUM(Table623[[#This Row],[SARMC 1]:[SARMC 4]])</f>
        <v>0</v>
      </c>
      <c r="L37" s="37">
        <v>0</v>
      </c>
      <c r="M37" s="51">
        <v>0</v>
      </c>
      <c r="N37" s="38">
        <v>0</v>
      </c>
      <c r="O37" s="37">
        <v>0</v>
      </c>
      <c r="P37" s="51">
        <v>0</v>
      </c>
      <c r="Q37" s="38">
        <v>0</v>
      </c>
      <c r="R37" s="37">
        <v>0</v>
      </c>
      <c r="S37" s="51">
        <v>0</v>
      </c>
      <c r="T37" s="38">
        <v>0</v>
      </c>
      <c r="U37" s="37">
        <v>0</v>
      </c>
      <c r="V37" s="51">
        <v>0</v>
      </c>
      <c r="W37" s="51">
        <v>0</v>
      </c>
      <c r="X37" s="38">
        <v>0</v>
      </c>
      <c r="Y37" s="37">
        <f>LARGE((Table623[[#This Row],[K1]:[Z4]]),1)</f>
        <v>0</v>
      </c>
      <c r="Z37" s="51">
        <f>LARGE((Table623[[#This Row],[K1]:[Z4]]),2)</f>
        <v>0</v>
      </c>
      <c r="AA37" s="51">
        <f>LARGE((Table623[[#This Row],[K1]:[Z4]]),3)</f>
        <v>0</v>
      </c>
      <c r="AB37" s="51">
        <f>LARGE((Table623[[#This Row],[K1]:[Z4]]),4)</f>
        <v>0</v>
      </c>
      <c r="AC37" s="51">
        <f>LARGE((Table623[[#This Row],[K1]:[Z4]]),5)</f>
        <v>0</v>
      </c>
      <c r="AD37" s="51">
        <f>LARGE((Table623[[#This Row],[K1]:[Z4]]),6)</f>
        <v>0</v>
      </c>
      <c r="AE37" s="51">
        <f>LARGE((Table623[[#This Row],[K1]:[Z4]]),7)</f>
        <v>0</v>
      </c>
      <c r="AF37" s="51">
        <f>LARGE((Table623[[#This Row],[K1]:[Z4]]),8)</f>
        <v>0</v>
      </c>
      <c r="AG37" s="51">
        <f>LARGE((Table623[[#This Row],[K1]:[Z4]]),9)</f>
        <v>0</v>
      </c>
      <c r="AH37" s="38">
        <f>LARGE((Table623[[#This Row],[K1]:[Z4]]),10)</f>
        <v>0</v>
      </c>
      <c r="AI37" s="45">
        <f t="shared" si="0"/>
        <v>0</v>
      </c>
      <c r="AJ37" s="37">
        <f t="shared" si="1"/>
        <v>0</v>
      </c>
      <c r="AK37" s="11"/>
    </row>
    <row r="38" spans="1:37" ht="14.4" hidden="1" x14ac:dyDescent="0.3">
      <c r="A38" s="59">
        <v>35</v>
      </c>
      <c r="B38" s="51"/>
      <c r="C38">
        <f>_xlfn.XLOOKUP(Table623[[#This Row],[No.]],Sheet2!B:B,Sheet2!C:C)</f>
        <v>0</v>
      </c>
      <c r="D38" s="52">
        <f>_xlfn.XLOOKUP(B38,Sheet2!B:B,Sheet2!G:G)</f>
        <v>0</v>
      </c>
      <c r="E38" s="51">
        <f>_xlfn.XLOOKUP(B38,Sheet2!B:B,Sheet2!H:H)</f>
        <v>0</v>
      </c>
      <c r="F38" s="30">
        <f>_xlfn.XLOOKUP(B38,Sheet2!B:B,Sheet2!D:D)</f>
        <v>0</v>
      </c>
      <c r="G38" s="37">
        <v>0</v>
      </c>
      <c r="H38" s="51">
        <v>0</v>
      </c>
      <c r="I38" s="51">
        <v>0</v>
      </c>
      <c r="J38" s="51">
        <v>0</v>
      </c>
      <c r="K38" s="49">
        <f>SUM(Table623[[#This Row],[SARMC 1]:[SARMC 4]])</f>
        <v>0</v>
      </c>
      <c r="L38" s="37">
        <v>0</v>
      </c>
      <c r="M38" s="51">
        <v>0</v>
      </c>
      <c r="N38" s="38">
        <v>0</v>
      </c>
      <c r="O38" s="37">
        <v>0</v>
      </c>
      <c r="P38" s="51">
        <v>0</v>
      </c>
      <c r="Q38" s="38">
        <v>0</v>
      </c>
      <c r="R38" s="37">
        <v>0</v>
      </c>
      <c r="S38" s="51">
        <v>0</v>
      </c>
      <c r="T38" s="38">
        <v>0</v>
      </c>
      <c r="U38" s="37">
        <v>0</v>
      </c>
      <c r="V38" s="51">
        <v>0</v>
      </c>
      <c r="W38" s="51">
        <v>0</v>
      </c>
      <c r="X38" s="38">
        <v>0</v>
      </c>
      <c r="Y38" s="37">
        <f>LARGE((Table623[[#This Row],[K1]:[Z4]]),1)</f>
        <v>0</v>
      </c>
      <c r="Z38" s="51">
        <f>LARGE((Table623[[#This Row],[K1]:[Z4]]),2)</f>
        <v>0</v>
      </c>
      <c r="AA38" s="51">
        <f>LARGE((Table623[[#This Row],[K1]:[Z4]]),3)</f>
        <v>0</v>
      </c>
      <c r="AB38" s="51">
        <f>LARGE((Table623[[#This Row],[K1]:[Z4]]),4)</f>
        <v>0</v>
      </c>
      <c r="AC38" s="51">
        <f>LARGE((Table623[[#This Row],[K1]:[Z4]]),5)</f>
        <v>0</v>
      </c>
      <c r="AD38" s="51">
        <f>LARGE((Table623[[#This Row],[K1]:[Z4]]),6)</f>
        <v>0</v>
      </c>
      <c r="AE38" s="51">
        <f>LARGE((Table623[[#This Row],[K1]:[Z4]]),7)</f>
        <v>0</v>
      </c>
      <c r="AF38" s="51">
        <f>LARGE((Table623[[#This Row],[K1]:[Z4]]),8)</f>
        <v>0</v>
      </c>
      <c r="AG38" s="51">
        <f>LARGE((Table623[[#This Row],[K1]:[Z4]]),9)</f>
        <v>0</v>
      </c>
      <c r="AH38" s="38">
        <f>LARGE((Table623[[#This Row],[K1]:[Z4]]),10)</f>
        <v>0</v>
      </c>
      <c r="AI38" s="45">
        <f t="shared" si="0"/>
        <v>0</v>
      </c>
      <c r="AJ38" s="37">
        <f t="shared" si="1"/>
        <v>0</v>
      </c>
      <c r="AK38" s="11"/>
    </row>
    <row r="39" spans="1:37" ht="14.4" hidden="1" x14ac:dyDescent="0.3">
      <c r="A39" s="59">
        <v>36</v>
      </c>
      <c r="B39" s="51"/>
      <c r="C39">
        <f>_xlfn.XLOOKUP(Table623[[#This Row],[No.]],Sheet2!B:B,Sheet2!C:C)</f>
        <v>0</v>
      </c>
      <c r="D39" s="52">
        <f>_xlfn.XLOOKUP(B39,Sheet2!B:B,Sheet2!G:G)</f>
        <v>0</v>
      </c>
      <c r="E39" s="51">
        <f>_xlfn.XLOOKUP(B39,Sheet2!B:B,Sheet2!H:H)</f>
        <v>0</v>
      </c>
      <c r="F39" s="30">
        <f>_xlfn.XLOOKUP(B39,Sheet2!B:B,Sheet2!D:D)</f>
        <v>0</v>
      </c>
      <c r="G39" s="37">
        <v>0</v>
      </c>
      <c r="H39" s="51">
        <v>0</v>
      </c>
      <c r="I39" s="51">
        <v>0</v>
      </c>
      <c r="J39" s="51">
        <v>0</v>
      </c>
      <c r="K39" s="49">
        <f>SUM(Table623[[#This Row],[SARMC 1]:[SARMC 4]])</f>
        <v>0</v>
      </c>
      <c r="L39" s="37">
        <v>0</v>
      </c>
      <c r="M39" s="51">
        <v>0</v>
      </c>
      <c r="N39" s="38">
        <v>0</v>
      </c>
      <c r="O39" s="37">
        <v>0</v>
      </c>
      <c r="P39" s="51">
        <v>0</v>
      </c>
      <c r="Q39" s="38">
        <v>0</v>
      </c>
      <c r="R39" s="37">
        <v>0</v>
      </c>
      <c r="S39" s="51">
        <v>0</v>
      </c>
      <c r="T39" s="38">
        <v>0</v>
      </c>
      <c r="U39" s="37">
        <v>0</v>
      </c>
      <c r="V39" s="51">
        <v>0</v>
      </c>
      <c r="W39" s="51">
        <v>0</v>
      </c>
      <c r="X39" s="38">
        <v>0</v>
      </c>
      <c r="Y39" s="37">
        <f>LARGE((Table623[[#This Row],[K1]:[Z4]]),1)</f>
        <v>0</v>
      </c>
      <c r="Z39" s="51">
        <f>LARGE((Table623[[#This Row],[K1]:[Z4]]),2)</f>
        <v>0</v>
      </c>
      <c r="AA39" s="51">
        <f>LARGE((Table623[[#This Row],[K1]:[Z4]]),3)</f>
        <v>0</v>
      </c>
      <c r="AB39" s="51">
        <f>LARGE((Table623[[#This Row],[K1]:[Z4]]),4)</f>
        <v>0</v>
      </c>
      <c r="AC39" s="51">
        <f>LARGE((Table623[[#This Row],[K1]:[Z4]]),5)</f>
        <v>0</v>
      </c>
      <c r="AD39" s="51">
        <f>LARGE((Table623[[#This Row],[K1]:[Z4]]),6)</f>
        <v>0</v>
      </c>
      <c r="AE39" s="51">
        <f>LARGE((Table623[[#This Row],[K1]:[Z4]]),7)</f>
        <v>0</v>
      </c>
      <c r="AF39" s="51">
        <f>LARGE((Table623[[#This Row],[K1]:[Z4]]),8)</f>
        <v>0</v>
      </c>
      <c r="AG39" s="51">
        <f>LARGE((Table623[[#This Row],[K1]:[Z4]]),9)</f>
        <v>0</v>
      </c>
      <c r="AH39" s="38">
        <f>LARGE((Table623[[#This Row],[K1]:[Z4]]),10)</f>
        <v>0</v>
      </c>
      <c r="AI39" s="45">
        <f t="shared" si="0"/>
        <v>0</v>
      </c>
      <c r="AJ39" s="37">
        <f t="shared" si="1"/>
        <v>0</v>
      </c>
      <c r="AK39" s="11"/>
    </row>
    <row r="40" spans="1:37" ht="14.4" hidden="1" x14ac:dyDescent="0.3">
      <c r="A40" s="59">
        <v>37</v>
      </c>
      <c r="B40" s="51"/>
      <c r="C40">
        <f>_xlfn.XLOOKUP(Table623[[#This Row],[No.]],Sheet2!B:B,Sheet2!C:C)</f>
        <v>0</v>
      </c>
      <c r="D40" s="52">
        <f>_xlfn.XLOOKUP(B40,Sheet2!B:B,Sheet2!G:G)</f>
        <v>0</v>
      </c>
      <c r="E40" s="51">
        <f>_xlfn.XLOOKUP(B40,Sheet2!B:B,Sheet2!H:H)</f>
        <v>0</v>
      </c>
      <c r="F40" s="30">
        <f>_xlfn.XLOOKUP(B40,Sheet2!B:B,Sheet2!D:D)</f>
        <v>0</v>
      </c>
      <c r="G40" s="37">
        <v>0</v>
      </c>
      <c r="H40" s="51">
        <v>0</v>
      </c>
      <c r="I40" s="51">
        <v>0</v>
      </c>
      <c r="J40" s="51">
        <v>0</v>
      </c>
      <c r="K40" s="49">
        <f>SUM(Table623[[#This Row],[SARMC 1]:[SARMC 4]])</f>
        <v>0</v>
      </c>
      <c r="L40" s="37">
        <v>0</v>
      </c>
      <c r="M40" s="51">
        <v>0</v>
      </c>
      <c r="N40" s="38">
        <v>0</v>
      </c>
      <c r="O40" s="37">
        <v>0</v>
      </c>
      <c r="P40" s="51">
        <v>0</v>
      </c>
      <c r="Q40" s="38">
        <v>0</v>
      </c>
      <c r="R40" s="37">
        <v>0</v>
      </c>
      <c r="S40" s="51">
        <v>0</v>
      </c>
      <c r="T40" s="38">
        <v>0</v>
      </c>
      <c r="U40" s="37">
        <v>0</v>
      </c>
      <c r="V40" s="51">
        <v>0</v>
      </c>
      <c r="W40" s="51">
        <v>0</v>
      </c>
      <c r="X40" s="38">
        <v>0</v>
      </c>
      <c r="Y40" s="37">
        <f>LARGE((Table623[[#This Row],[K1]:[Z4]]),1)</f>
        <v>0</v>
      </c>
      <c r="Z40" s="51">
        <f>LARGE((Table623[[#This Row],[K1]:[Z4]]),2)</f>
        <v>0</v>
      </c>
      <c r="AA40" s="51">
        <f>LARGE((Table623[[#This Row],[K1]:[Z4]]),3)</f>
        <v>0</v>
      </c>
      <c r="AB40" s="51">
        <f>LARGE((Table623[[#This Row],[K1]:[Z4]]),4)</f>
        <v>0</v>
      </c>
      <c r="AC40" s="51">
        <f>LARGE((Table623[[#This Row],[K1]:[Z4]]),5)</f>
        <v>0</v>
      </c>
      <c r="AD40" s="51">
        <f>LARGE((Table623[[#This Row],[K1]:[Z4]]),6)</f>
        <v>0</v>
      </c>
      <c r="AE40" s="51">
        <f>LARGE((Table623[[#This Row],[K1]:[Z4]]),7)</f>
        <v>0</v>
      </c>
      <c r="AF40" s="51">
        <f>LARGE((Table623[[#This Row],[K1]:[Z4]]),8)</f>
        <v>0</v>
      </c>
      <c r="AG40" s="51">
        <f>LARGE((Table623[[#This Row],[K1]:[Z4]]),9)</f>
        <v>0</v>
      </c>
      <c r="AH40" s="38">
        <f>LARGE((Table623[[#This Row],[K1]:[Z4]]),10)</f>
        <v>0</v>
      </c>
      <c r="AI40" s="45">
        <f t="shared" si="0"/>
        <v>0</v>
      </c>
      <c r="AJ40" s="37">
        <f t="shared" si="1"/>
        <v>0</v>
      </c>
      <c r="AK40" s="11"/>
    </row>
    <row r="41" spans="1:37" ht="14.4" hidden="1" x14ac:dyDescent="0.3">
      <c r="A41" s="59">
        <v>38</v>
      </c>
      <c r="B41" s="51"/>
      <c r="C41">
        <f>_xlfn.XLOOKUP(Table623[[#This Row],[No.]],Sheet2!B:B,Sheet2!C:C)</f>
        <v>0</v>
      </c>
      <c r="D41" s="52">
        <f>_xlfn.XLOOKUP(B41,Sheet2!B:B,Sheet2!G:G)</f>
        <v>0</v>
      </c>
      <c r="E41" s="51">
        <f>_xlfn.XLOOKUP(B41,Sheet2!B:B,Sheet2!H:H)</f>
        <v>0</v>
      </c>
      <c r="F41" s="30">
        <f>_xlfn.XLOOKUP(B41,Sheet2!B:B,Sheet2!D:D)</f>
        <v>0</v>
      </c>
      <c r="G41" s="37">
        <v>0</v>
      </c>
      <c r="H41" s="51">
        <v>0</v>
      </c>
      <c r="I41" s="51">
        <v>0</v>
      </c>
      <c r="J41" s="51">
        <v>0</v>
      </c>
      <c r="K41" s="49">
        <f>SUM(Table623[[#This Row],[SARMC 1]:[SARMC 4]])</f>
        <v>0</v>
      </c>
      <c r="L41" s="37">
        <v>0</v>
      </c>
      <c r="M41" s="51">
        <v>0</v>
      </c>
      <c r="N41" s="38">
        <v>0</v>
      </c>
      <c r="O41" s="37">
        <v>0</v>
      </c>
      <c r="P41" s="51">
        <v>0</v>
      </c>
      <c r="Q41" s="38">
        <v>0</v>
      </c>
      <c r="R41" s="37">
        <v>0</v>
      </c>
      <c r="S41" s="51">
        <v>0</v>
      </c>
      <c r="T41" s="38">
        <v>0</v>
      </c>
      <c r="U41" s="37">
        <v>0</v>
      </c>
      <c r="V41" s="51">
        <v>0</v>
      </c>
      <c r="W41" s="51">
        <v>0</v>
      </c>
      <c r="X41" s="38">
        <v>0</v>
      </c>
      <c r="Y41" s="37">
        <f>LARGE((Table623[[#This Row],[K1]:[Z4]]),1)</f>
        <v>0</v>
      </c>
      <c r="Z41" s="51">
        <f>LARGE((Table623[[#This Row],[K1]:[Z4]]),2)</f>
        <v>0</v>
      </c>
      <c r="AA41" s="51">
        <f>LARGE((Table623[[#This Row],[K1]:[Z4]]),3)</f>
        <v>0</v>
      </c>
      <c r="AB41" s="51">
        <f>LARGE((Table623[[#This Row],[K1]:[Z4]]),4)</f>
        <v>0</v>
      </c>
      <c r="AC41" s="51">
        <f>LARGE((Table623[[#This Row],[K1]:[Z4]]),5)</f>
        <v>0</v>
      </c>
      <c r="AD41" s="51">
        <f>LARGE((Table623[[#This Row],[K1]:[Z4]]),6)</f>
        <v>0</v>
      </c>
      <c r="AE41" s="51">
        <f>LARGE((Table623[[#This Row],[K1]:[Z4]]),7)</f>
        <v>0</v>
      </c>
      <c r="AF41" s="51">
        <f>LARGE((Table623[[#This Row],[K1]:[Z4]]),8)</f>
        <v>0</v>
      </c>
      <c r="AG41" s="51">
        <f>LARGE((Table623[[#This Row],[K1]:[Z4]]),9)</f>
        <v>0</v>
      </c>
      <c r="AH41" s="38">
        <f>LARGE((Table623[[#This Row],[K1]:[Z4]]),10)</f>
        <v>0</v>
      </c>
      <c r="AI41" s="45">
        <f t="shared" si="0"/>
        <v>0</v>
      </c>
      <c r="AJ41" s="37">
        <f t="shared" si="1"/>
        <v>0</v>
      </c>
      <c r="AK41" s="11"/>
    </row>
    <row r="42" spans="1:37" ht="14.4" hidden="1" x14ac:dyDescent="0.3">
      <c r="A42" s="59">
        <v>39</v>
      </c>
      <c r="B42" s="51"/>
      <c r="C42">
        <f>_xlfn.XLOOKUP(Table623[[#This Row],[No.]],Sheet2!B:B,Sheet2!C:C)</f>
        <v>0</v>
      </c>
      <c r="D42" s="52">
        <f>_xlfn.XLOOKUP(B42,Sheet2!B:B,Sheet2!G:G)</f>
        <v>0</v>
      </c>
      <c r="E42" s="51">
        <f>_xlfn.XLOOKUP(B42,Sheet2!B:B,Sheet2!H:H)</f>
        <v>0</v>
      </c>
      <c r="F42" s="30">
        <f>_xlfn.XLOOKUP(B42,Sheet2!B:B,Sheet2!D:D)</f>
        <v>0</v>
      </c>
      <c r="G42" s="37">
        <v>0</v>
      </c>
      <c r="H42" s="51">
        <v>0</v>
      </c>
      <c r="I42" s="51">
        <v>0</v>
      </c>
      <c r="J42" s="51">
        <v>0</v>
      </c>
      <c r="K42" s="49">
        <f>SUM(Table623[[#This Row],[SARMC 1]:[SARMC 4]])</f>
        <v>0</v>
      </c>
      <c r="L42" s="37">
        <v>0</v>
      </c>
      <c r="M42" s="51">
        <v>0</v>
      </c>
      <c r="N42" s="38">
        <v>0</v>
      </c>
      <c r="O42" s="37">
        <v>0</v>
      </c>
      <c r="P42" s="51">
        <v>0</v>
      </c>
      <c r="Q42" s="38">
        <v>0</v>
      </c>
      <c r="R42" s="37">
        <v>0</v>
      </c>
      <c r="S42" s="51">
        <v>0</v>
      </c>
      <c r="T42" s="38">
        <v>0</v>
      </c>
      <c r="U42" s="37">
        <v>0</v>
      </c>
      <c r="V42" s="51">
        <v>0</v>
      </c>
      <c r="W42" s="51">
        <v>0</v>
      </c>
      <c r="X42" s="38">
        <v>0</v>
      </c>
      <c r="Y42" s="37">
        <f>LARGE((Table623[[#This Row],[K1]:[Z4]]),1)</f>
        <v>0</v>
      </c>
      <c r="Z42" s="51">
        <f>LARGE((Table623[[#This Row],[K1]:[Z4]]),2)</f>
        <v>0</v>
      </c>
      <c r="AA42" s="51">
        <f>LARGE((Table623[[#This Row],[K1]:[Z4]]),3)</f>
        <v>0</v>
      </c>
      <c r="AB42" s="51">
        <f>LARGE((Table623[[#This Row],[K1]:[Z4]]),4)</f>
        <v>0</v>
      </c>
      <c r="AC42" s="51">
        <f>LARGE((Table623[[#This Row],[K1]:[Z4]]),5)</f>
        <v>0</v>
      </c>
      <c r="AD42" s="51">
        <f>LARGE((Table623[[#This Row],[K1]:[Z4]]),6)</f>
        <v>0</v>
      </c>
      <c r="AE42" s="51">
        <f>LARGE((Table623[[#This Row],[K1]:[Z4]]),7)</f>
        <v>0</v>
      </c>
      <c r="AF42" s="51">
        <f>LARGE((Table623[[#This Row],[K1]:[Z4]]),8)</f>
        <v>0</v>
      </c>
      <c r="AG42" s="51">
        <f>LARGE((Table623[[#This Row],[K1]:[Z4]]),9)</f>
        <v>0</v>
      </c>
      <c r="AH42" s="38">
        <f>LARGE((Table623[[#This Row],[K1]:[Z4]]),10)</f>
        <v>0</v>
      </c>
      <c r="AI42" s="45">
        <f t="shared" si="0"/>
        <v>0</v>
      </c>
      <c r="AJ42" s="37">
        <f t="shared" si="1"/>
        <v>0</v>
      </c>
      <c r="AK42" s="11"/>
    </row>
    <row r="43" spans="1:37" ht="14.4" hidden="1" x14ac:dyDescent="0.3">
      <c r="A43" s="59">
        <v>40</v>
      </c>
      <c r="B43" s="51"/>
      <c r="C43">
        <f>_xlfn.XLOOKUP(Table623[[#This Row],[No.]],Sheet2!B:B,Sheet2!C:C)</f>
        <v>0</v>
      </c>
      <c r="D43" s="52">
        <f>_xlfn.XLOOKUP(B43,Sheet2!B:B,Sheet2!G:G)</f>
        <v>0</v>
      </c>
      <c r="E43" s="51">
        <f>_xlfn.XLOOKUP(B43,Sheet2!B:B,Sheet2!H:H)</f>
        <v>0</v>
      </c>
      <c r="F43" s="30">
        <f>_xlfn.XLOOKUP(B43,Sheet2!B:B,Sheet2!D:D)</f>
        <v>0</v>
      </c>
      <c r="G43" s="37">
        <v>0</v>
      </c>
      <c r="H43" s="51">
        <v>0</v>
      </c>
      <c r="I43" s="51">
        <v>0</v>
      </c>
      <c r="J43" s="51">
        <v>0</v>
      </c>
      <c r="K43" s="60">
        <f>SUM(Table623[[#This Row],[SARMC 1]:[SARMC 4]])</f>
        <v>0</v>
      </c>
      <c r="L43" s="61">
        <v>0</v>
      </c>
      <c r="M43" s="62">
        <v>0</v>
      </c>
      <c r="N43" s="63">
        <v>0</v>
      </c>
      <c r="O43" s="61">
        <v>0</v>
      </c>
      <c r="P43" s="62">
        <v>0</v>
      </c>
      <c r="Q43" s="63">
        <v>0</v>
      </c>
      <c r="R43" s="61">
        <v>0</v>
      </c>
      <c r="S43" s="62">
        <v>0</v>
      </c>
      <c r="T43" s="63">
        <v>0</v>
      </c>
      <c r="U43" s="61">
        <v>0</v>
      </c>
      <c r="V43" s="62">
        <v>0</v>
      </c>
      <c r="W43" s="62">
        <v>0</v>
      </c>
      <c r="X43" s="63">
        <v>0</v>
      </c>
      <c r="Y43" s="37">
        <f>LARGE((Table623[[#This Row],[K1]:[Z4]]),1)</f>
        <v>0</v>
      </c>
      <c r="Z43" s="51">
        <f>LARGE((Table623[[#This Row],[K1]:[Z4]]),2)</f>
        <v>0</v>
      </c>
      <c r="AA43" s="51">
        <f>LARGE((Table623[[#This Row],[K1]:[Z4]]),3)</f>
        <v>0</v>
      </c>
      <c r="AB43" s="51">
        <f>LARGE((Table623[[#This Row],[K1]:[Z4]]),4)</f>
        <v>0</v>
      </c>
      <c r="AC43" s="51">
        <f>LARGE((Table623[[#This Row],[K1]:[Z4]]),5)</f>
        <v>0</v>
      </c>
      <c r="AD43" s="51">
        <f>LARGE((Table623[[#This Row],[K1]:[Z4]]),6)</f>
        <v>0</v>
      </c>
      <c r="AE43" s="51">
        <f>LARGE((Table623[[#This Row],[K1]:[Z4]]),7)</f>
        <v>0</v>
      </c>
      <c r="AF43" s="51">
        <f>LARGE((Table623[[#This Row],[K1]:[Z4]]),8)</f>
        <v>0</v>
      </c>
      <c r="AG43" s="51">
        <f>LARGE((Table623[[#This Row],[K1]:[Z4]]),9)</f>
        <v>0</v>
      </c>
      <c r="AH43" s="38">
        <f>LARGE((Table623[[#This Row],[K1]:[Z4]]),10)</f>
        <v>0</v>
      </c>
      <c r="AI43" s="45">
        <f t="shared" si="0"/>
        <v>0</v>
      </c>
      <c r="AJ43" s="37">
        <f t="shared" si="1"/>
        <v>0</v>
      </c>
      <c r="AK43" s="11"/>
    </row>
    <row r="44" spans="1:37" x14ac:dyDescent="0.25">
      <c r="A44" s="22"/>
      <c r="B44" s="23"/>
      <c r="C44" s="24" t="s">
        <v>45</v>
      </c>
      <c r="D44" s="31"/>
      <c r="E44" s="25"/>
      <c r="F44" s="32"/>
      <c r="G44" s="23"/>
      <c r="H44" s="23"/>
      <c r="I44" s="23"/>
      <c r="J44" s="23"/>
      <c r="K44" s="27"/>
      <c r="L44" s="22"/>
      <c r="M44" s="22">
        <f>(COUNTIF(L4:L43,"&gt;0"))</f>
        <v>16</v>
      </c>
      <c r="N44" s="22"/>
      <c r="O44" s="22"/>
      <c r="P44" s="22">
        <f>(COUNTIF(O4:O43,"&gt;0"))</f>
        <v>12</v>
      </c>
      <c r="Q44" s="22"/>
      <c r="R44" s="22"/>
      <c r="S44" s="22">
        <f>(COUNTIF(R4:R43,"&gt;0"))</f>
        <v>14</v>
      </c>
      <c r="T44" s="22"/>
      <c r="U44" s="23"/>
      <c r="V44" s="22">
        <f>(COUNTIF(U4:U43,"&gt;0"))</f>
        <v>13</v>
      </c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6"/>
      <c r="AJ44" s="27"/>
    </row>
    <row r="45" spans="1:37" x14ac:dyDescent="0.25">
      <c r="D45" s="33"/>
    </row>
  </sheetData>
  <sortState xmlns:xlrd2="http://schemas.microsoft.com/office/spreadsheetml/2017/richdata2" ref="B4:AY36">
    <sortCondition descending="1" ref="AY4:AY36"/>
    <sortCondition ref="E4:E36"/>
    <sortCondition ref="B4:B36"/>
  </sortState>
  <mergeCells count="8">
    <mergeCell ref="A2:F2"/>
    <mergeCell ref="A1:AJ1"/>
    <mergeCell ref="G2:K2"/>
    <mergeCell ref="L2:N2"/>
    <mergeCell ref="O2:Q2"/>
    <mergeCell ref="R2:T2"/>
    <mergeCell ref="U2:X2"/>
    <mergeCell ref="Y2:AH2"/>
  </mergeCells>
  <conditionalFormatting sqref="B1">
    <cfRule type="duplicateValues" dxfId="66" priority="3"/>
    <cfRule type="duplicateValues" dxfId="65" priority="4"/>
    <cfRule type="duplicateValues" dxfId="64" priority="5"/>
  </conditionalFormatting>
  <conditionalFormatting sqref="B1:B1048576">
    <cfRule type="duplicateValues" dxfId="63" priority="1"/>
  </conditionalFormatting>
  <conditionalFormatting sqref="B2 B4:B1048576">
    <cfRule type="duplicateValues" dxfId="62" priority="6"/>
  </conditionalFormatting>
  <conditionalFormatting sqref="B44:B1048576 B2">
    <cfRule type="duplicateValues" dxfId="61" priority="7"/>
    <cfRule type="duplicateValues" dxfId="60" priority="9"/>
  </conditionalFormatting>
  <pageMargins left="0.23622047244094491" right="0.23622047244094491" top="0.31496062992125984" bottom="0.31496062992125984" header="0.31496062992125984" footer="0.31496062992125984"/>
  <pageSetup paperSize="9" scale="73" orientation="landscape" r:id="rId1"/>
  <ignoredErrors>
    <ignoredError sqref="C4:F34" calculatedColumn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53"/>
  <sheetViews>
    <sheetView zoomScaleNormal="100" workbookViewId="0">
      <pane xSplit="6" topLeftCell="G1" activePane="topRight" state="frozen"/>
      <selection pane="topRight" activeCell="A2" sqref="A2:F2"/>
    </sheetView>
  </sheetViews>
  <sheetFormatPr defaultColWidth="3.6640625" defaultRowHeight="13.8" x14ac:dyDescent="0.25"/>
  <cols>
    <col min="1" max="1" width="5" style="12" bestFit="1" customWidth="1"/>
    <col min="2" max="2" width="4.44140625" style="10" bestFit="1" customWidth="1"/>
    <col min="3" max="3" width="28.6640625" style="10" bestFit="1" customWidth="1"/>
    <col min="4" max="4" width="10.6640625" style="34" customWidth="1"/>
    <col min="5" max="5" width="8.33203125" style="12" customWidth="1"/>
    <col min="6" max="6" width="12.6640625" style="34" customWidth="1"/>
    <col min="7" max="10" width="4" style="10" customWidth="1"/>
    <col min="11" max="11" width="4" style="14" customWidth="1"/>
    <col min="12" max="14" width="4" style="12" customWidth="1"/>
    <col min="15" max="34" width="4" style="10" customWidth="1"/>
    <col min="35" max="35" width="7.109375" style="13" bestFit="1" customWidth="1"/>
    <col min="36" max="36" width="6.44140625" style="14" bestFit="1" customWidth="1"/>
    <col min="37" max="37" width="6.5546875" style="10" bestFit="1" customWidth="1"/>
    <col min="38" max="16384" width="3.6640625" style="10"/>
  </cols>
  <sheetData>
    <row r="1" spans="1:37" s="9" customFormat="1" ht="78.75" customHeight="1" thickBot="1" x14ac:dyDescent="0.35">
      <c r="A1" s="100" t="e" vm="1">
        <v>#VALUE!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2"/>
    </row>
    <row r="2" spans="1:37" ht="25.5" customHeight="1" x14ac:dyDescent="0.25">
      <c r="A2" s="103" t="e" vm="4">
        <v>#VALUE!</v>
      </c>
      <c r="B2" s="104"/>
      <c r="C2" s="104"/>
      <c r="D2" s="104"/>
      <c r="E2" s="104"/>
      <c r="F2" s="104"/>
      <c r="G2" s="110" t="s">
        <v>0</v>
      </c>
      <c r="H2" s="111"/>
      <c r="I2" s="111"/>
      <c r="J2" s="111"/>
      <c r="K2" s="112"/>
      <c r="L2" s="105" t="s">
        <v>1</v>
      </c>
      <c r="M2" s="106"/>
      <c r="N2" s="107"/>
      <c r="O2" s="105" t="s">
        <v>55</v>
      </c>
      <c r="P2" s="106"/>
      <c r="Q2" s="107"/>
      <c r="R2" s="105" t="s">
        <v>466</v>
      </c>
      <c r="S2" s="106"/>
      <c r="T2" s="107"/>
      <c r="U2" s="105" t="s">
        <v>3</v>
      </c>
      <c r="V2" s="108"/>
      <c r="W2" s="108"/>
      <c r="X2" s="109"/>
      <c r="Y2" s="105" t="s">
        <v>4</v>
      </c>
      <c r="Z2" s="108"/>
      <c r="AA2" s="108"/>
      <c r="AB2" s="108"/>
      <c r="AC2" s="108"/>
      <c r="AD2" s="108"/>
      <c r="AE2" s="108"/>
      <c r="AF2" s="108"/>
      <c r="AG2" s="108"/>
      <c r="AH2" s="109"/>
      <c r="AI2" s="54" t="s">
        <v>5</v>
      </c>
      <c r="AJ2" s="55" t="s">
        <v>6</v>
      </c>
    </row>
    <row r="3" spans="1:37" ht="68.400000000000006" thickBot="1" x14ac:dyDescent="0.3">
      <c r="A3" s="56" t="s">
        <v>7</v>
      </c>
      <c r="B3" s="35" t="s">
        <v>8</v>
      </c>
      <c r="C3" s="21" t="s">
        <v>9</v>
      </c>
      <c r="D3" s="28" t="s">
        <v>10</v>
      </c>
      <c r="E3" s="36" t="s">
        <v>11</v>
      </c>
      <c r="F3" s="29" t="s">
        <v>12</v>
      </c>
      <c r="G3" s="39" t="s">
        <v>13</v>
      </c>
      <c r="H3" s="40" t="s">
        <v>14</v>
      </c>
      <c r="I3" s="41" t="s">
        <v>15</v>
      </c>
      <c r="J3" s="50" t="s">
        <v>16</v>
      </c>
      <c r="K3" s="57" t="s">
        <v>17</v>
      </c>
      <c r="L3" s="39" t="s">
        <v>18</v>
      </c>
      <c r="M3" s="41" t="s">
        <v>19</v>
      </c>
      <c r="N3" s="42" t="s">
        <v>20</v>
      </c>
      <c r="O3" s="18" t="s">
        <v>438</v>
      </c>
      <c r="P3" s="16" t="s">
        <v>439</v>
      </c>
      <c r="Q3" s="19" t="s">
        <v>440</v>
      </c>
      <c r="R3" s="18" t="s">
        <v>21</v>
      </c>
      <c r="S3" s="16" t="s">
        <v>22</v>
      </c>
      <c r="T3" s="19" t="s">
        <v>23</v>
      </c>
      <c r="U3" s="70" t="s">
        <v>441</v>
      </c>
      <c r="V3" s="71" t="s">
        <v>442</v>
      </c>
      <c r="W3" s="71" t="s">
        <v>443</v>
      </c>
      <c r="X3" s="17" t="s">
        <v>24</v>
      </c>
      <c r="Y3" s="43" t="s">
        <v>25</v>
      </c>
      <c r="Z3" s="35" t="s">
        <v>26</v>
      </c>
      <c r="AA3" s="35" t="s">
        <v>27</v>
      </c>
      <c r="AB3" s="35" t="s">
        <v>28</v>
      </c>
      <c r="AC3" s="35" t="s">
        <v>29</v>
      </c>
      <c r="AD3" s="35" t="s">
        <v>30</v>
      </c>
      <c r="AE3" s="35" t="s">
        <v>31</v>
      </c>
      <c r="AF3" s="35" t="s">
        <v>32</v>
      </c>
      <c r="AG3" s="35" t="s">
        <v>33</v>
      </c>
      <c r="AH3" s="44" t="s">
        <v>34</v>
      </c>
      <c r="AI3" s="20" t="s">
        <v>35</v>
      </c>
      <c r="AJ3" s="58" t="s">
        <v>5</v>
      </c>
    </row>
    <row r="4" spans="1:37" ht="14.4" customHeight="1" x14ac:dyDescent="0.3">
      <c r="A4" s="59">
        <v>1</v>
      </c>
      <c r="B4" s="51">
        <v>588</v>
      </c>
      <c r="C4" t="str">
        <f>_xlfn.XLOOKUP(B4,Sheet2!B:B,Sheet2!C:C)</f>
        <v>Luke Du Toit</v>
      </c>
      <c r="D4" s="52">
        <f>_xlfn.XLOOKUP(B4,Sheet2!B:B,Sheet2!G:G)</f>
        <v>38544</v>
      </c>
      <c r="E4" s="51" t="str">
        <f>_xlfn.XLOOKUP(B4,Sheet2!B:B,Sheet2!H:H)</f>
        <v>NR</v>
      </c>
      <c r="F4" s="30" t="str">
        <f>_xlfn.XLOOKUP(B4,Sheet2!B:B,Sheet2!D:D)</f>
        <v>CRG</v>
      </c>
      <c r="G4" s="37">
        <v>3</v>
      </c>
      <c r="H4" s="51">
        <v>3</v>
      </c>
      <c r="I4" s="51">
        <v>3</v>
      </c>
      <c r="J4" s="51">
        <v>3</v>
      </c>
      <c r="K4" s="48">
        <f>SUM(Table62[[#This Row],[SARMC 1]:[SARMC 4]])</f>
        <v>12</v>
      </c>
      <c r="L4" s="37">
        <v>29</v>
      </c>
      <c r="M4" s="51">
        <v>30</v>
      </c>
      <c r="N4" s="38">
        <v>30</v>
      </c>
      <c r="O4" s="37">
        <v>28</v>
      </c>
      <c r="P4" s="51">
        <v>35</v>
      </c>
      <c r="Q4" s="38">
        <v>20</v>
      </c>
      <c r="R4" s="37">
        <v>35</v>
      </c>
      <c r="S4" s="51">
        <v>29</v>
      </c>
      <c r="T4" s="38">
        <v>35</v>
      </c>
      <c r="U4" s="37">
        <v>35</v>
      </c>
      <c r="V4" s="51">
        <v>29</v>
      </c>
      <c r="W4" s="51">
        <v>11</v>
      </c>
      <c r="X4" s="38">
        <v>27</v>
      </c>
      <c r="Y4" s="46">
        <f>LARGE((Table62[[#This Row],[K1]:[Z4]]),1)</f>
        <v>35</v>
      </c>
      <c r="Z4" s="47">
        <f>LARGE((Table62[[#This Row],[K1]:[Z4]]),2)</f>
        <v>35</v>
      </c>
      <c r="AA4" s="47">
        <f>LARGE((Table62[[#This Row],[K1]:[Z4]]),3)</f>
        <v>35</v>
      </c>
      <c r="AB4" s="47">
        <f>LARGE((Table62[[#This Row],[K1]:[Z4]]),4)</f>
        <v>35</v>
      </c>
      <c r="AC4" s="47">
        <f>LARGE((Table62[[#This Row],[K1]:[Z4]]),5)</f>
        <v>30</v>
      </c>
      <c r="AD4" s="47">
        <f>LARGE((Table62[[#This Row],[K1]:[Z4]]),6)</f>
        <v>30</v>
      </c>
      <c r="AE4" s="47">
        <f>LARGE((Table62[[#This Row],[K1]:[Z4]]),7)</f>
        <v>29</v>
      </c>
      <c r="AF4" s="47">
        <f>LARGE((Table62[[#This Row],[K1]:[Z4]]),8)</f>
        <v>29</v>
      </c>
      <c r="AG4" s="47">
        <f>LARGE((Table62[[#This Row],[K1]:[Z4]]),9)</f>
        <v>29</v>
      </c>
      <c r="AH4" s="47">
        <f>LARGE((Table62[[#This Row],[K1]:[Z4]]),10)</f>
        <v>28</v>
      </c>
      <c r="AI4" s="45">
        <f t="shared" ref="AI4:AI51" si="0">SUM(Y4:AH4)</f>
        <v>315</v>
      </c>
      <c r="AJ4" s="37">
        <f t="shared" ref="AJ4:AJ51" si="1">K4+AI4</f>
        <v>327</v>
      </c>
      <c r="AK4" s="11"/>
    </row>
    <row r="5" spans="1:37" ht="14.4" customHeight="1" x14ac:dyDescent="0.3">
      <c r="A5" s="59">
        <v>2</v>
      </c>
      <c r="B5" s="51">
        <v>562</v>
      </c>
      <c r="C5" t="str">
        <f>_xlfn.XLOOKUP(B5,Sheet2!B:B,Sheet2!C:C)</f>
        <v>Diego Antunes</v>
      </c>
      <c r="D5" s="52">
        <f>_xlfn.XLOOKUP(B5,Sheet2!B:B,Sheet2!G:G)</f>
        <v>32278</v>
      </c>
      <c r="E5" s="51" t="str">
        <f>_xlfn.XLOOKUP(B5,Sheet2!B:B,Sheet2!H:H)</f>
        <v>NR</v>
      </c>
      <c r="F5" s="30" t="str">
        <f>_xlfn.XLOOKUP(B5,Sheet2!B:B,Sheet2!D:D)</f>
        <v>PAROLIN</v>
      </c>
      <c r="G5" s="37">
        <v>3</v>
      </c>
      <c r="H5" s="51">
        <v>3</v>
      </c>
      <c r="I5" s="51">
        <v>3</v>
      </c>
      <c r="J5" s="51">
        <v>3</v>
      </c>
      <c r="K5" s="49">
        <f>SUM(Table62[[#This Row],[SARMC 1]:[SARMC 4]])</f>
        <v>12</v>
      </c>
      <c r="L5" s="37">
        <v>26</v>
      </c>
      <c r="M5" s="51">
        <v>26</v>
      </c>
      <c r="N5" s="38">
        <v>24</v>
      </c>
      <c r="O5" s="37">
        <v>35</v>
      </c>
      <c r="P5" s="51" t="s">
        <v>467</v>
      </c>
      <c r="Q5" s="38">
        <v>22</v>
      </c>
      <c r="R5" s="37">
        <v>28</v>
      </c>
      <c r="S5" s="51">
        <v>28</v>
      </c>
      <c r="T5" s="38">
        <v>28</v>
      </c>
      <c r="U5" s="37">
        <v>28</v>
      </c>
      <c r="V5" s="51">
        <v>32</v>
      </c>
      <c r="W5" s="51">
        <v>35</v>
      </c>
      <c r="X5" s="38">
        <v>35</v>
      </c>
      <c r="Y5" s="37">
        <f>LARGE((Table62[[#This Row],[K1]:[Z4]]),1)</f>
        <v>35</v>
      </c>
      <c r="Z5" s="51">
        <f>LARGE((Table62[[#This Row],[K1]:[Z4]]),2)</f>
        <v>35</v>
      </c>
      <c r="AA5" s="51">
        <f>LARGE((Table62[[#This Row],[K1]:[Z4]]),3)</f>
        <v>35</v>
      </c>
      <c r="AB5" s="51">
        <f>LARGE((Table62[[#This Row],[K1]:[Z4]]),4)</f>
        <v>32</v>
      </c>
      <c r="AC5" s="51">
        <f>LARGE((Table62[[#This Row],[K1]:[Z4]]),5)</f>
        <v>28</v>
      </c>
      <c r="AD5" s="51">
        <f>LARGE((Table62[[#This Row],[K1]:[Z4]]),6)</f>
        <v>28</v>
      </c>
      <c r="AE5" s="51">
        <f>LARGE((Table62[[#This Row],[K1]:[Z4]]),7)</f>
        <v>28</v>
      </c>
      <c r="AF5" s="51">
        <f>LARGE((Table62[[#This Row],[K1]:[Z4]]),8)</f>
        <v>28</v>
      </c>
      <c r="AG5" s="51">
        <f>LARGE((Table62[[#This Row],[K1]:[Z4]]),9)</f>
        <v>26</v>
      </c>
      <c r="AH5" s="38">
        <f>LARGE((Table62[[#This Row],[K1]:[Z4]]),10)</f>
        <v>26</v>
      </c>
      <c r="AI5" s="45">
        <f t="shared" si="0"/>
        <v>301</v>
      </c>
      <c r="AJ5" s="37">
        <f t="shared" si="1"/>
        <v>313</v>
      </c>
      <c r="AK5" s="11"/>
    </row>
    <row r="6" spans="1:37" ht="14.4" customHeight="1" x14ac:dyDescent="0.3">
      <c r="A6" s="59">
        <v>3</v>
      </c>
      <c r="B6" s="51">
        <v>527</v>
      </c>
      <c r="C6" t="str">
        <f>_xlfn.XLOOKUP(B6,Sheet2!B:B,Sheet2!C:C)</f>
        <v>Luhan De Wet</v>
      </c>
      <c r="D6" s="52">
        <f>_xlfn.XLOOKUP(B6,Sheet2!B:B,Sheet2!G:G)</f>
        <v>33828</v>
      </c>
      <c r="E6" s="51" t="str">
        <f>_xlfn.XLOOKUP(B6,Sheet2!B:B,Sheet2!H:H)</f>
        <v>NR</v>
      </c>
      <c r="F6" s="30" t="s">
        <v>54</v>
      </c>
      <c r="G6" s="37">
        <v>3</v>
      </c>
      <c r="H6" s="51">
        <v>3</v>
      </c>
      <c r="I6" s="51">
        <v>3</v>
      </c>
      <c r="J6" s="51">
        <v>3</v>
      </c>
      <c r="K6" s="49">
        <f>SUM(Table62[[#This Row],[SARMC 1]:[SARMC 4]])</f>
        <v>12</v>
      </c>
      <c r="L6" s="37">
        <v>23</v>
      </c>
      <c r="M6" s="51" t="s">
        <v>467</v>
      </c>
      <c r="N6" s="38">
        <v>22</v>
      </c>
      <c r="O6" s="37">
        <v>30</v>
      </c>
      <c r="P6" s="51">
        <v>32</v>
      </c>
      <c r="Q6" s="38">
        <v>35</v>
      </c>
      <c r="R6" s="37">
        <v>32</v>
      </c>
      <c r="S6" s="51">
        <v>18</v>
      </c>
      <c r="T6" s="38">
        <v>24</v>
      </c>
      <c r="U6" s="37">
        <v>32</v>
      </c>
      <c r="V6" s="51">
        <v>23</v>
      </c>
      <c r="W6" s="51">
        <v>30</v>
      </c>
      <c r="X6" s="38">
        <v>29</v>
      </c>
      <c r="Y6" s="37">
        <f>LARGE((Table62[[#This Row],[K1]:[Z4]]),1)</f>
        <v>35</v>
      </c>
      <c r="Z6" s="51">
        <f>LARGE((Table62[[#This Row],[K1]:[Z4]]),2)</f>
        <v>32</v>
      </c>
      <c r="AA6" s="51">
        <f>LARGE((Table62[[#This Row],[K1]:[Z4]]),3)</f>
        <v>32</v>
      </c>
      <c r="AB6" s="51">
        <f>LARGE((Table62[[#This Row],[K1]:[Z4]]),4)</f>
        <v>32</v>
      </c>
      <c r="AC6" s="51">
        <f>LARGE((Table62[[#This Row],[K1]:[Z4]]),5)</f>
        <v>30</v>
      </c>
      <c r="AD6" s="51">
        <f>LARGE((Table62[[#This Row],[K1]:[Z4]]),6)</f>
        <v>30</v>
      </c>
      <c r="AE6" s="51">
        <f>LARGE((Table62[[#This Row],[K1]:[Z4]]),7)</f>
        <v>29</v>
      </c>
      <c r="AF6" s="51">
        <f>LARGE((Table62[[#This Row],[K1]:[Z4]]),8)</f>
        <v>24</v>
      </c>
      <c r="AG6" s="51">
        <f>LARGE((Table62[[#This Row],[K1]:[Z4]]),9)</f>
        <v>23</v>
      </c>
      <c r="AH6" s="38">
        <f>LARGE((Table62[[#This Row],[K1]:[Z4]]),10)</f>
        <v>23</v>
      </c>
      <c r="AI6" s="45">
        <f t="shared" si="0"/>
        <v>290</v>
      </c>
      <c r="AJ6" s="37">
        <f t="shared" si="1"/>
        <v>302</v>
      </c>
      <c r="AK6" s="11"/>
    </row>
    <row r="7" spans="1:37" ht="14.4" customHeight="1" x14ac:dyDescent="0.3">
      <c r="A7" s="59">
        <v>4</v>
      </c>
      <c r="B7" s="51">
        <v>518</v>
      </c>
      <c r="C7" t="str">
        <f>_xlfn.XLOOKUP(B7,Sheet2!B:B,Sheet2!C:C)</f>
        <v>Christian Naidoo</v>
      </c>
      <c r="D7" s="52">
        <f>_xlfn.XLOOKUP(B7,Sheet2!B:B,Sheet2!G:G)</f>
        <v>44154</v>
      </c>
      <c r="E7" s="51" t="str">
        <f>_xlfn.XLOOKUP(B7,Sheet2!B:B,Sheet2!H:H)</f>
        <v>NR</v>
      </c>
      <c r="F7" s="30" t="str">
        <f>_xlfn.XLOOKUP(B7,Sheet2!B:B,Sheet2!D:D)</f>
        <v>KR</v>
      </c>
      <c r="G7" s="37">
        <v>3</v>
      </c>
      <c r="H7" s="51">
        <v>3</v>
      </c>
      <c r="I7" s="51">
        <v>3</v>
      </c>
      <c r="J7" s="51">
        <v>3</v>
      </c>
      <c r="K7" s="49">
        <f>SUM(Table62[[#This Row],[SARMC 1]:[SARMC 4]])</f>
        <v>12</v>
      </c>
      <c r="L7" s="37">
        <v>16</v>
      </c>
      <c r="M7" s="51">
        <v>27</v>
      </c>
      <c r="N7" s="38">
        <v>21</v>
      </c>
      <c r="O7" s="37">
        <v>29</v>
      </c>
      <c r="P7" s="51">
        <v>26</v>
      </c>
      <c r="Q7" s="38">
        <v>27</v>
      </c>
      <c r="R7" s="37">
        <v>18</v>
      </c>
      <c r="S7" s="51">
        <v>23</v>
      </c>
      <c r="T7" s="38">
        <v>22</v>
      </c>
      <c r="U7" s="37">
        <v>29</v>
      </c>
      <c r="V7" s="51">
        <v>28</v>
      </c>
      <c r="W7" s="51">
        <v>32</v>
      </c>
      <c r="X7" s="38">
        <v>28</v>
      </c>
      <c r="Y7" s="37">
        <f>LARGE((Table62[[#This Row],[K1]:[Z4]]),1)</f>
        <v>32</v>
      </c>
      <c r="Z7" s="51">
        <f>LARGE((Table62[[#This Row],[K1]:[Z4]]),2)</f>
        <v>29</v>
      </c>
      <c r="AA7" s="51">
        <f>LARGE((Table62[[#This Row],[K1]:[Z4]]),3)</f>
        <v>29</v>
      </c>
      <c r="AB7" s="51">
        <f>LARGE((Table62[[#This Row],[K1]:[Z4]]),4)</f>
        <v>28</v>
      </c>
      <c r="AC7" s="51">
        <f>LARGE((Table62[[#This Row],[K1]:[Z4]]),5)</f>
        <v>28</v>
      </c>
      <c r="AD7" s="51">
        <f>LARGE((Table62[[#This Row],[K1]:[Z4]]),6)</f>
        <v>27</v>
      </c>
      <c r="AE7" s="51">
        <f>LARGE((Table62[[#This Row],[K1]:[Z4]]),7)</f>
        <v>27</v>
      </c>
      <c r="AF7" s="51">
        <f>LARGE((Table62[[#This Row],[K1]:[Z4]]),8)</f>
        <v>26</v>
      </c>
      <c r="AG7" s="51">
        <f>LARGE((Table62[[#This Row],[K1]:[Z4]]),9)</f>
        <v>23</v>
      </c>
      <c r="AH7" s="38">
        <f>LARGE((Table62[[#This Row],[K1]:[Z4]]),10)</f>
        <v>22</v>
      </c>
      <c r="AI7" s="45">
        <f t="shared" si="0"/>
        <v>271</v>
      </c>
      <c r="AJ7" s="37">
        <f t="shared" si="1"/>
        <v>283</v>
      </c>
      <c r="AK7" s="11"/>
    </row>
    <row r="8" spans="1:37" ht="14.4" customHeight="1" x14ac:dyDescent="0.3">
      <c r="A8" s="59">
        <v>5</v>
      </c>
      <c r="B8" s="51">
        <v>519</v>
      </c>
      <c r="C8" t="str">
        <f>_xlfn.XLOOKUP(B8,Sheet2!B:B,Sheet2!C:C)</f>
        <v>Lwashu Mathebula</v>
      </c>
      <c r="D8" s="52">
        <f>_xlfn.XLOOKUP(B8,Sheet2!B:B,Sheet2!G:G)</f>
        <v>37064</v>
      </c>
      <c r="E8" s="51" t="str">
        <f>_xlfn.XLOOKUP(B8,Sheet2!B:B,Sheet2!H:H)</f>
        <v>NR</v>
      </c>
      <c r="F8" s="30" t="str">
        <f>_xlfn.XLOOKUP(B8,Sheet2!B:B,Sheet2!D:D)</f>
        <v>KR</v>
      </c>
      <c r="G8" s="37">
        <v>0</v>
      </c>
      <c r="H8" s="51">
        <v>3</v>
      </c>
      <c r="I8" s="51">
        <v>3</v>
      </c>
      <c r="J8" s="51">
        <v>3</v>
      </c>
      <c r="K8" s="49">
        <f>SUM(Table62[[#This Row],[SARMC 1]:[SARMC 4]])</f>
        <v>9</v>
      </c>
      <c r="L8" s="37">
        <v>18</v>
      </c>
      <c r="M8" s="51">
        <v>6</v>
      </c>
      <c r="N8" s="38">
        <v>5</v>
      </c>
      <c r="O8" s="37">
        <v>26</v>
      </c>
      <c r="P8" s="51">
        <v>27</v>
      </c>
      <c r="Q8" s="38">
        <v>28</v>
      </c>
      <c r="R8" s="37">
        <v>26</v>
      </c>
      <c r="S8" s="51">
        <v>32</v>
      </c>
      <c r="T8" s="38">
        <v>32</v>
      </c>
      <c r="U8" s="37">
        <v>20</v>
      </c>
      <c r="V8" s="51">
        <v>30</v>
      </c>
      <c r="W8" s="51">
        <v>27</v>
      </c>
      <c r="X8" s="38">
        <v>26</v>
      </c>
      <c r="Y8" s="37">
        <f>LARGE((Table62[[#This Row],[K1]:[Z4]]),1)</f>
        <v>32</v>
      </c>
      <c r="Z8" s="51">
        <f>LARGE((Table62[[#This Row],[K1]:[Z4]]),2)</f>
        <v>32</v>
      </c>
      <c r="AA8" s="51">
        <f>LARGE((Table62[[#This Row],[K1]:[Z4]]),3)</f>
        <v>30</v>
      </c>
      <c r="AB8" s="51">
        <f>LARGE((Table62[[#This Row],[K1]:[Z4]]),4)</f>
        <v>28</v>
      </c>
      <c r="AC8" s="51">
        <f>LARGE((Table62[[#This Row],[K1]:[Z4]]),5)</f>
        <v>27</v>
      </c>
      <c r="AD8" s="51">
        <f>LARGE((Table62[[#This Row],[K1]:[Z4]]),6)</f>
        <v>27</v>
      </c>
      <c r="AE8" s="51">
        <f>LARGE((Table62[[#This Row],[K1]:[Z4]]),7)</f>
        <v>26</v>
      </c>
      <c r="AF8" s="51">
        <f>LARGE((Table62[[#This Row],[K1]:[Z4]]),8)</f>
        <v>26</v>
      </c>
      <c r="AG8" s="51">
        <f>LARGE((Table62[[#This Row],[K1]:[Z4]]),9)</f>
        <v>26</v>
      </c>
      <c r="AH8" s="38">
        <f>LARGE((Table62[[#This Row],[K1]:[Z4]]),10)</f>
        <v>20</v>
      </c>
      <c r="AI8" s="45">
        <f t="shared" si="0"/>
        <v>274</v>
      </c>
      <c r="AJ8" s="37">
        <f t="shared" si="1"/>
        <v>283</v>
      </c>
      <c r="AK8" s="11"/>
    </row>
    <row r="9" spans="1:37" ht="14.4" customHeight="1" x14ac:dyDescent="0.3">
      <c r="A9" s="59">
        <v>6</v>
      </c>
      <c r="B9" s="51">
        <v>556</v>
      </c>
      <c r="C9" t="str">
        <f>_xlfn.XLOOKUP(B9,Sheet2!B:B,Sheet2!C:C)</f>
        <v>Adriaan Steyn</v>
      </c>
      <c r="D9" s="52">
        <f>_xlfn.XLOOKUP(B9,Sheet2!B:B,Sheet2!G:G)</f>
        <v>34472</v>
      </c>
      <c r="E9" s="51" t="str">
        <f>_xlfn.XLOOKUP(B9,Sheet2!B:B,Sheet2!H:H)</f>
        <v>NR</v>
      </c>
      <c r="F9" s="30" t="str">
        <f>_xlfn.XLOOKUP(B9,Sheet2!B:B,Sheet2!D:D)</f>
        <v>CRG</v>
      </c>
      <c r="G9" s="37">
        <v>3</v>
      </c>
      <c r="H9" s="51">
        <v>3</v>
      </c>
      <c r="I9" s="51">
        <v>3</v>
      </c>
      <c r="J9" s="51">
        <v>3</v>
      </c>
      <c r="K9" s="49">
        <f>SUM(Table62[[#This Row],[SARMC 1]:[SARMC 4]])</f>
        <v>12</v>
      </c>
      <c r="L9" s="37">
        <v>21</v>
      </c>
      <c r="M9" s="51">
        <v>24</v>
      </c>
      <c r="N9" s="38">
        <v>27</v>
      </c>
      <c r="O9" s="37">
        <v>19</v>
      </c>
      <c r="P9" s="51">
        <v>29</v>
      </c>
      <c r="Q9" s="38">
        <v>26</v>
      </c>
      <c r="R9" s="37">
        <v>21</v>
      </c>
      <c r="S9" s="51">
        <v>30</v>
      </c>
      <c r="T9" s="38">
        <v>27</v>
      </c>
      <c r="U9" s="37">
        <v>26</v>
      </c>
      <c r="V9" s="51">
        <v>26</v>
      </c>
      <c r="W9" s="51">
        <v>25</v>
      </c>
      <c r="X9" s="38">
        <v>30</v>
      </c>
      <c r="Y9" s="37">
        <f>LARGE((Table62[[#This Row],[K1]:[Z4]]),1)</f>
        <v>30</v>
      </c>
      <c r="Z9" s="51">
        <f>LARGE((Table62[[#This Row],[K1]:[Z4]]),2)</f>
        <v>30</v>
      </c>
      <c r="AA9" s="51">
        <f>LARGE((Table62[[#This Row],[K1]:[Z4]]),3)</f>
        <v>29</v>
      </c>
      <c r="AB9" s="51">
        <f>LARGE((Table62[[#This Row],[K1]:[Z4]]),4)</f>
        <v>27</v>
      </c>
      <c r="AC9" s="51">
        <f>LARGE((Table62[[#This Row],[K1]:[Z4]]),5)</f>
        <v>27</v>
      </c>
      <c r="AD9" s="51">
        <f>LARGE((Table62[[#This Row],[K1]:[Z4]]),6)</f>
        <v>26</v>
      </c>
      <c r="AE9" s="51">
        <f>LARGE((Table62[[#This Row],[K1]:[Z4]]),7)</f>
        <v>26</v>
      </c>
      <c r="AF9" s="51">
        <f>LARGE((Table62[[#This Row],[K1]:[Z4]]),8)</f>
        <v>26</v>
      </c>
      <c r="AG9" s="51">
        <f>LARGE((Table62[[#This Row],[K1]:[Z4]]),9)</f>
        <v>25</v>
      </c>
      <c r="AH9" s="38">
        <f>LARGE((Table62[[#This Row],[K1]:[Z4]]),10)</f>
        <v>24</v>
      </c>
      <c r="AI9" s="45">
        <f t="shared" si="0"/>
        <v>270</v>
      </c>
      <c r="AJ9" s="37">
        <f t="shared" si="1"/>
        <v>282</v>
      </c>
      <c r="AK9" s="11"/>
    </row>
    <row r="10" spans="1:37" ht="14.4" customHeight="1" x14ac:dyDescent="0.3">
      <c r="A10" s="59">
        <v>7</v>
      </c>
      <c r="B10" s="51">
        <v>546</v>
      </c>
      <c r="C10" t="str">
        <f>_xlfn.XLOOKUP(B10,Sheet2!B:B,Sheet2!C:C)</f>
        <v>Liam Wharton</v>
      </c>
      <c r="D10" s="52">
        <f>_xlfn.XLOOKUP(B10,Sheet2!B:B,Sheet2!G:G)</f>
        <v>3245</v>
      </c>
      <c r="E10" s="51" t="str">
        <f>_xlfn.XLOOKUP(B10,Sheet2!B:B,Sheet2!H:H)</f>
        <v>WP</v>
      </c>
      <c r="F10" s="30" t="s">
        <v>333</v>
      </c>
      <c r="G10" s="37">
        <v>3</v>
      </c>
      <c r="H10" s="51">
        <v>3</v>
      </c>
      <c r="I10" s="51">
        <v>3</v>
      </c>
      <c r="J10" s="51">
        <v>3</v>
      </c>
      <c r="K10" s="49">
        <f>SUM(Table62[[#This Row],[SARMC 1]:[SARMC 4]])</f>
        <v>12</v>
      </c>
      <c r="L10" s="37">
        <v>30</v>
      </c>
      <c r="M10" s="51">
        <v>35</v>
      </c>
      <c r="N10" s="38">
        <v>35</v>
      </c>
      <c r="O10" s="37">
        <v>9</v>
      </c>
      <c r="P10" s="51">
        <v>24</v>
      </c>
      <c r="Q10" s="38">
        <v>32</v>
      </c>
      <c r="R10" s="37">
        <v>20</v>
      </c>
      <c r="S10" s="51">
        <v>21</v>
      </c>
      <c r="T10" s="38">
        <v>26</v>
      </c>
      <c r="U10" s="37">
        <v>24</v>
      </c>
      <c r="V10" s="51">
        <v>22</v>
      </c>
      <c r="W10" s="51">
        <v>11</v>
      </c>
      <c r="X10" s="38">
        <v>17</v>
      </c>
      <c r="Y10" s="37">
        <f>LARGE((Table62[[#This Row],[K1]:[Z4]]),1)</f>
        <v>35</v>
      </c>
      <c r="Z10" s="51">
        <f>LARGE((Table62[[#This Row],[K1]:[Z4]]),2)</f>
        <v>35</v>
      </c>
      <c r="AA10" s="51">
        <f>LARGE((Table62[[#This Row],[K1]:[Z4]]),3)</f>
        <v>32</v>
      </c>
      <c r="AB10" s="51">
        <f>LARGE((Table62[[#This Row],[K1]:[Z4]]),4)</f>
        <v>30</v>
      </c>
      <c r="AC10" s="51">
        <f>LARGE((Table62[[#This Row],[K1]:[Z4]]),5)</f>
        <v>26</v>
      </c>
      <c r="AD10" s="51">
        <f>LARGE((Table62[[#This Row],[K1]:[Z4]]),6)</f>
        <v>24</v>
      </c>
      <c r="AE10" s="51">
        <f>LARGE((Table62[[#This Row],[K1]:[Z4]]),7)</f>
        <v>24</v>
      </c>
      <c r="AF10" s="51">
        <f>LARGE((Table62[[#This Row],[K1]:[Z4]]),8)</f>
        <v>22</v>
      </c>
      <c r="AG10" s="51">
        <f>LARGE((Table62[[#This Row],[K1]:[Z4]]),9)</f>
        <v>21</v>
      </c>
      <c r="AH10" s="38">
        <f>LARGE((Table62[[#This Row],[K1]:[Z4]]),10)</f>
        <v>20</v>
      </c>
      <c r="AI10" s="45">
        <f t="shared" si="0"/>
        <v>269</v>
      </c>
      <c r="AJ10" s="37">
        <f t="shared" si="1"/>
        <v>281</v>
      </c>
      <c r="AK10" s="11"/>
    </row>
    <row r="11" spans="1:37" ht="14.4" customHeight="1" x14ac:dyDescent="0.3">
      <c r="A11" s="59">
        <v>8</v>
      </c>
      <c r="B11" s="51">
        <v>513</v>
      </c>
      <c r="C11" t="str">
        <f>_xlfn.XLOOKUP(B11,Sheet2!B:B,Sheet2!C:C)</f>
        <v>Ruhan Victor</v>
      </c>
      <c r="D11" s="52">
        <f>_xlfn.XLOOKUP(B11,Sheet2!B:B,Sheet2!G:G)</f>
        <v>36897</v>
      </c>
      <c r="E11" s="51" t="str">
        <f>_xlfn.XLOOKUP(B11,Sheet2!B:B,Sheet2!H:H)</f>
        <v>WP</v>
      </c>
      <c r="F11" s="30" t="s">
        <v>53</v>
      </c>
      <c r="G11" s="37">
        <v>3</v>
      </c>
      <c r="H11" s="51">
        <v>3</v>
      </c>
      <c r="I11" s="51">
        <v>3</v>
      </c>
      <c r="J11" s="51">
        <v>3</v>
      </c>
      <c r="K11" s="49">
        <f>SUM(Table62[[#This Row],[SARMC 1]:[SARMC 4]])</f>
        <v>12</v>
      </c>
      <c r="L11" s="37">
        <v>27</v>
      </c>
      <c r="M11" s="51">
        <v>25</v>
      </c>
      <c r="N11" s="38">
        <v>25</v>
      </c>
      <c r="O11" s="37">
        <v>0</v>
      </c>
      <c r="P11" s="51">
        <v>0</v>
      </c>
      <c r="Q11" s="38">
        <v>0</v>
      </c>
      <c r="R11" s="37">
        <v>29</v>
      </c>
      <c r="S11" s="51">
        <v>35</v>
      </c>
      <c r="T11" s="38">
        <v>30</v>
      </c>
      <c r="U11" s="37">
        <v>30</v>
      </c>
      <c r="V11" s="51">
        <v>35</v>
      </c>
      <c r="W11" s="51">
        <v>28</v>
      </c>
      <c r="X11" s="38" t="s">
        <v>467</v>
      </c>
      <c r="Y11" s="37">
        <f>LARGE((Table62[[#This Row],[K1]:[Z4]]),1)</f>
        <v>35</v>
      </c>
      <c r="Z11" s="51">
        <f>LARGE((Table62[[#This Row],[K1]:[Z4]]),2)</f>
        <v>35</v>
      </c>
      <c r="AA11" s="51">
        <f>LARGE((Table62[[#This Row],[K1]:[Z4]]),3)</f>
        <v>30</v>
      </c>
      <c r="AB11" s="51">
        <f>LARGE((Table62[[#This Row],[K1]:[Z4]]),4)</f>
        <v>30</v>
      </c>
      <c r="AC11" s="51">
        <f>LARGE((Table62[[#This Row],[K1]:[Z4]]),5)</f>
        <v>29</v>
      </c>
      <c r="AD11" s="51">
        <f>LARGE((Table62[[#This Row],[K1]:[Z4]]),6)</f>
        <v>28</v>
      </c>
      <c r="AE11" s="51">
        <f>LARGE((Table62[[#This Row],[K1]:[Z4]]),7)</f>
        <v>27</v>
      </c>
      <c r="AF11" s="51">
        <f>LARGE((Table62[[#This Row],[K1]:[Z4]]),8)</f>
        <v>25</v>
      </c>
      <c r="AG11" s="51">
        <f>LARGE((Table62[[#This Row],[K1]:[Z4]]),9)</f>
        <v>25</v>
      </c>
      <c r="AH11" s="38">
        <f>LARGE((Table62[[#This Row],[K1]:[Z4]]),10)</f>
        <v>0</v>
      </c>
      <c r="AI11" s="45">
        <f t="shared" si="0"/>
        <v>264</v>
      </c>
      <c r="AJ11" s="37">
        <f t="shared" si="1"/>
        <v>276</v>
      </c>
      <c r="AK11" s="11"/>
    </row>
    <row r="12" spans="1:37" ht="14.4" customHeight="1" x14ac:dyDescent="0.3">
      <c r="A12" s="59">
        <v>9</v>
      </c>
      <c r="B12" s="51">
        <v>528</v>
      </c>
      <c r="C12" t="str">
        <f>_xlfn.XLOOKUP(B12,Sheet2!B:B,Sheet2!C:C)</f>
        <v>Callum Du Toit</v>
      </c>
      <c r="D12" s="52">
        <f>_xlfn.XLOOKUP(B12,Sheet2!B:B,Sheet2!G:G)</f>
        <v>37595</v>
      </c>
      <c r="E12" s="51" t="str">
        <f>_xlfn.XLOOKUP(B12,Sheet2!B:B,Sheet2!H:H)</f>
        <v>NR</v>
      </c>
      <c r="F12" s="30" t="str">
        <f>_xlfn.XLOOKUP(B12,Sheet2!B:B,Sheet2!D:D)</f>
        <v>CRG</v>
      </c>
      <c r="G12" s="37">
        <v>3</v>
      </c>
      <c r="H12" s="51">
        <v>3</v>
      </c>
      <c r="I12" s="51">
        <v>3</v>
      </c>
      <c r="J12" s="51">
        <v>3</v>
      </c>
      <c r="K12" s="49">
        <f>SUM(Table62[[#This Row],[SARMC 1]:[SARMC 4]])</f>
        <v>12</v>
      </c>
      <c r="L12" s="37">
        <v>22</v>
      </c>
      <c r="M12" s="51">
        <v>18</v>
      </c>
      <c r="N12" s="38">
        <v>16</v>
      </c>
      <c r="O12" s="37">
        <v>25</v>
      </c>
      <c r="P12" s="51">
        <v>14</v>
      </c>
      <c r="Q12" s="38">
        <v>29</v>
      </c>
      <c r="R12" s="37">
        <v>15</v>
      </c>
      <c r="S12" s="51">
        <v>19</v>
      </c>
      <c r="T12" s="38">
        <v>21</v>
      </c>
      <c r="U12" s="37">
        <v>27</v>
      </c>
      <c r="V12" s="51">
        <v>24</v>
      </c>
      <c r="W12" s="51">
        <v>29</v>
      </c>
      <c r="X12" s="38">
        <v>32</v>
      </c>
      <c r="Y12" s="37">
        <f>LARGE((Table62[[#This Row],[K1]:[Z4]]),1)</f>
        <v>32</v>
      </c>
      <c r="Z12" s="51">
        <f>LARGE((Table62[[#This Row],[K1]:[Z4]]),2)</f>
        <v>29</v>
      </c>
      <c r="AA12" s="51">
        <f>LARGE((Table62[[#This Row],[K1]:[Z4]]),3)</f>
        <v>29</v>
      </c>
      <c r="AB12" s="51">
        <f>LARGE((Table62[[#This Row],[K1]:[Z4]]),4)</f>
        <v>27</v>
      </c>
      <c r="AC12" s="51">
        <f>LARGE((Table62[[#This Row],[K1]:[Z4]]),5)</f>
        <v>25</v>
      </c>
      <c r="AD12" s="51">
        <f>LARGE((Table62[[#This Row],[K1]:[Z4]]),6)</f>
        <v>24</v>
      </c>
      <c r="AE12" s="51">
        <f>LARGE((Table62[[#This Row],[K1]:[Z4]]),7)</f>
        <v>22</v>
      </c>
      <c r="AF12" s="51">
        <f>LARGE((Table62[[#This Row],[K1]:[Z4]]),8)</f>
        <v>21</v>
      </c>
      <c r="AG12" s="51">
        <f>LARGE((Table62[[#This Row],[K1]:[Z4]]),9)</f>
        <v>19</v>
      </c>
      <c r="AH12" s="38">
        <f>LARGE((Table62[[#This Row],[K1]:[Z4]]),10)</f>
        <v>18</v>
      </c>
      <c r="AI12" s="45">
        <f t="shared" si="0"/>
        <v>246</v>
      </c>
      <c r="AJ12" s="37">
        <f t="shared" si="1"/>
        <v>258</v>
      </c>
      <c r="AK12" s="11"/>
    </row>
    <row r="13" spans="1:37" ht="14.4" customHeight="1" x14ac:dyDescent="0.3">
      <c r="A13" s="59">
        <v>10</v>
      </c>
      <c r="B13" s="51">
        <v>592</v>
      </c>
      <c r="C13" t="str">
        <f>_xlfn.XLOOKUP(B13,Sheet2!B:B,Sheet2!C:C)</f>
        <v>Nande Kaiyamo</v>
      </c>
      <c r="D13" s="52" t="str">
        <f>_xlfn.XLOOKUP(B13,Sheet2!B:B,Sheet2!G:G)</f>
        <v>NMSF470</v>
      </c>
      <c r="E13" s="51" t="str">
        <f>_xlfn.XLOOKUP(B13,Sheet2!B:B,Sheet2!H:H)</f>
        <v>NAM</v>
      </c>
      <c r="F13" s="30" t="str">
        <f>_xlfn.XLOOKUP(B13,Sheet2!B:B,Sheet2!D:D)</f>
        <v>KR</v>
      </c>
      <c r="G13" s="37">
        <v>3</v>
      </c>
      <c r="H13" s="51">
        <v>3</v>
      </c>
      <c r="I13" s="51">
        <v>0</v>
      </c>
      <c r="J13" s="51">
        <v>0</v>
      </c>
      <c r="K13" s="49">
        <f>SUM(Table62[[#This Row],[SARMC 1]:[SARMC 4]])</f>
        <v>6</v>
      </c>
      <c r="L13" s="37">
        <v>9</v>
      </c>
      <c r="M13" s="51">
        <v>13</v>
      </c>
      <c r="N13" s="38">
        <v>12</v>
      </c>
      <c r="O13" s="37">
        <v>32</v>
      </c>
      <c r="P13" s="51">
        <v>28</v>
      </c>
      <c r="Q13" s="38">
        <v>24</v>
      </c>
      <c r="R13" s="37">
        <v>25</v>
      </c>
      <c r="S13" s="51">
        <v>27</v>
      </c>
      <c r="T13" s="38">
        <v>25</v>
      </c>
      <c r="U13" s="37">
        <v>19</v>
      </c>
      <c r="V13" s="51">
        <v>20</v>
      </c>
      <c r="W13" s="51">
        <v>24</v>
      </c>
      <c r="X13" s="38">
        <v>22</v>
      </c>
      <c r="Y13" s="37">
        <f>LARGE((Table62[[#This Row],[K1]:[Z4]]),1)</f>
        <v>32</v>
      </c>
      <c r="Z13" s="51">
        <f>LARGE((Table62[[#This Row],[K1]:[Z4]]),2)</f>
        <v>28</v>
      </c>
      <c r="AA13" s="51">
        <f>LARGE((Table62[[#This Row],[K1]:[Z4]]),3)</f>
        <v>27</v>
      </c>
      <c r="AB13" s="51">
        <f>LARGE((Table62[[#This Row],[K1]:[Z4]]),4)</f>
        <v>25</v>
      </c>
      <c r="AC13" s="51">
        <f>LARGE((Table62[[#This Row],[K1]:[Z4]]),5)</f>
        <v>25</v>
      </c>
      <c r="AD13" s="51">
        <f>LARGE((Table62[[#This Row],[K1]:[Z4]]),6)</f>
        <v>24</v>
      </c>
      <c r="AE13" s="51">
        <f>LARGE((Table62[[#This Row],[K1]:[Z4]]),7)</f>
        <v>24</v>
      </c>
      <c r="AF13" s="51">
        <f>LARGE((Table62[[#This Row],[K1]:[Z4]]),8)</f>
        <v>22</v>
      </c>
      <c r="AG13" s="51">
        <f>LARGE((Table62[[#This Row],[K1]:[Z4]]),9)</f>
        <v>20</v>
      </c>
      <c r="AH13" s="38">
        <f>LARGE((Table62[[#This Row],[K1]:[Z4]]),10)</f>
        <v>19</v>
      </c>
      <c r="AI13" s="45">
        <f t="shared" si="0"/>
        <v>246</v>
      </c>
      <c r="AJ13" s="37">
        <f t="shared" si="1"/>
        <v>252</v>
      </c>
      <c r="AK13" s="11"/>
    </row>
    <row r="14" spans="1:37" ht="14.4" customHeight="1" x14ac:dyDescent="0.3">
      <c r="A14" s="59">
        <v>11</v>
      </c>
      <c r="B14" s="51">
        <v>564</v>
      </c>
      <c r="C14" t="str">
        <f>_xlfn.XLOOKUP(B14,Sheet2!B:B,Sheet2!C:C)</f>
        <v>Joe Buckham</v>
      </c>
      <c r="D14" s="52">
        <v>46075</v>
      </c>
      <c r="E14" s="51" t="str">
        <f>_xlfn.XLOOKUP(B14,Sheet2!B:B,Sheet2!H:H)</f>
        <v>NR</v>
      </c>
      <c r="F14" s="30" t="str">
        <f>_xlfn.XLOOKUP(B14,Sheet2!B:B,Sheet2!D:D)</f>
        <v>FK</v>
      </c>
      <c r="G14" s="37">
        <v>3</v>
      </c>
      <c r="H14" s="51">
        <v>3</v>
      </c>
      <c r="I14" s="51">
        <v>3</v>
      </c>
      <c r="J14" s="51">
        <v>3</v>
      </c>
      <c r="K14" s="49">
        <f>SUM(Table62[[#This Row],[SARMC 1]:[SARMC 4]])</f>
        <v>12</v>
      </c>
      <c r="L14" s="37">
        <v>14</v>
      </c>
      <c r="M14" s="51">
        <v>23</v>
      </c>
      <c r="N14" s="38">
        <v>23</v>
      </c>
      <c r="O14" s="37">
        <v>23</v>
      </c>
      <c r="P14" s="51">
        <v>23</v>
      </c>
      <c r="Q14" s="38">
        <v>25</v>
      </c>
      <c r="R14" s="37">
        <v>24</v>
      </c>
      <c r="S14" s="51">
        <v>25</v>
      </c>
      <c r="T14" s="38">
        <v>18</v>
      </c>
      <c r="U14" s="37">
        <v>25</v>
      </c>
      <c r="V14" s="51">
        <v>27</v>
      </c>
      <c r="W14" s="51">
        <v>16</v>
      </c>
      <c r="X14" s="38">
        <v>20</v>
      </c>
      <c r="Y14" s="37">
        <f>LARGE((Table62[[#This Row],[K1]:[Z4]]),1)</f>
        <v>27</v>
      </c>
      <c r="Z14" s="51">
        <f>LARGE((Table62[[#This Row],[K1]:[Z4]]),2)</f>
        <v>25</v>
      </c>
      <c r="AA14" s="51">
        <f>LARGE((Table62[[#This Row],[K1]:[Z4]]),3)</f>
        <v>25</v>
      </c>
      <c r="AB14" s="51">
        <f>LARGE((Table62[[#This Row],[K1]:[Z4]]),4)</f>
        <v>25</v>
      </c>
      <c r="AC14" s="51">
        <f>LARGE((Table62[[#This Row],[K1]:[Z4]]),5)</f>
        <v>24</v>
      </c>
      <c r="AD14" s="51">
        <f>LARGE((Table62[[#This Row],[K1]:[Z4]]),6)</f>
        <v>23</v>
      </c>
      <c r="AE14" s="51">
        <f>LARGE((Table62[[#This Row],[K1]:[Z4]]),7)</f>
        <v>23</v>
      </c>
      <c r="AF14" s="51">
        <f>LARGE((Table62[[#This Row],[K1]:[Z4]]),8)</f>
        <v>23</v>
      </c>
      <c r="AG14" s="51">
        <f>LARGE((Table62[[#This Row],[K1]:[Z4]]),9)</f>
        <v>23</v>
      </c>
      <c r="AH14" s="38">
        <f>LARGE((Table62[[#This Row],[K1]:[Z4]]),10)</f>
        <v>20</v>
      </c>
      <c r="AI14" s="45">
        <f t="shared" si="0"/>
        <v>238</v>
      </c>
      <c r="AJ14" s="37">
        <f t="shared" si="1"/>
        <v>250</v>
      </c>
      <c r="AK14" s="11"/>
    </row>
    <row r="15" spans="1:37" ht="14.4" customHeight="1" x14ac:dyDescent="0.3">
      <c r="A15" s="59">
        <v>12</v>
      </c>
      <c r="B15" s="51">
        <v>544</v>
      </c>
      <c r="C15" t="str">
        <f>_xlfn.XLOOKUP(B15,Sheet2!B:B,Sheet2!C:C)</f>
        <v>Kireev Chetty</v>
      </c>
      <c r="D15" s="52">
        <f>_xlfn.XLOOKUP(B15,Sheet2!B:B,Sheet2!G:G)</f>
        <v>42323</v>
      </c>
      <c r="E15" s="51" t="str">
        <f>_xlfn.XLOOKUP(B15,Sheet2!B:B,Sheet2!H:H)</f>
        <v>NR</v>
      </c>
      <c r="F15" s="30" t="str">
        <f>_xlfn.XLOOKUP(B15,Sheet2!B:B,Sheet2!D:D)</f>
        <v>CRG</v>
      </c>
      <c r="G15" s="37">
        <v>3</v>
      </c>
      <c r="H15" s="51">
        <v>3</v>
      </c>
      <c r="I15" s="51">
        <v>3</v>
      </c>
      <c r="J15" s="51">
        <v>3</v>
      </c>
      <c r="K15" s="49">
        <f>SUM(Table62[[#This Row],[SARMC 1]:[SARMC 4]])</f>
        <v>12</v>
      </c>
      <c r="L15" s="37">
        <v>20</v>
      </c>
      <c r="M15" s="51">
        <v>20</v>
      </c>
      <c r="N15" s="38">
        <v>19</v>
      </c>
      <c r="O15" s="37">
        <v>27</v>
      </c>
      <c r="P15" s="51">
        <v>19</v>
      </c>
      <c r="Q15" s="38">
        <v>30</v>
      </c>
      <c r="R15" s="37">
        <v>14</v>
      </c>
      <c r="S15" s="51">
        <v>22</v>
      </c>
      <c r="T15" s="38">
        <v>14</v>
      </c>
      <c r="U15" s="37">
        <v>22</v>
      </c>
      <c r="V15" s="51">
        <v>18</v>
      </c>
      <c r="W15" s="51">
        <v>18</v>
      </c>
      <c r="X15" s="38">
        <v>23</v>
      </c>
      <c r="Y15" s="37">
        <f>LARGE((Table62[[#This Row],[K1]:[Z4]]),1)</f>
        <v>30</v>
      </c>
      <c r="Z15" s="51">
        <f>LARGE((Table62[[#This Row],[K1]:[Z4]]),2)</f>
        <v>27</v>
      </c>
      <c r="AA15" s="51">
        <f>LARGE((Table62[[#This Row],[K1]:[Z4]]),3)</f>
        <v>23</v>
      </c>
      <c r="AB15" s="51">
        <f>LARGE((Table62[[#This Row],[K1]:[Z4]]),4)</f>
        <v>22</v>
      </c>
      <c r="AC15" s="51">
        <f>LARGE((Table62[[#This Row],[K1]:[Z4]]),5)</f>
        <v>22</v>
      </c>
      <c r="AD15" s="51">
        <f>LARGE((Table62[[#This Row],[K1]:[Z4]]),6)</f>
        <v>20</v>
      </c>
      <c r="AE15" s="51">
        <f>LARGE((Table62[[#This Row],[K1]:[Z4]]),7)</f>
        <v>20</v>
      </c>
      <c r="AF15" s="51">
        <f>LARGE((Table62[[#This Row],[K1]:[Z4]]),8)</f>
        <v>19</v>
      </c>
      <c r="AG15" s="51">
        <f>LARGE((Table62[[#This Row],[K1]:[Z4]]),9)</f>
        <v>19</v>
      </c>
      <c r="AH15" s="38">
        <f>LARGE((Table62[[#This Row],[K1]:[Z4]]),10)</f>
        <v>18</v>
      </c>
      <c r="AI15" s="45">
        <f t="shared" si="0"/>
        <v>220</v>
      </c>
      <c r="AJ15" s="37">
        <f t="shared" si="1"/>
        <v>232</v>
      </c>
      <c r="AK15" s="11"/>
    </row>
    <row r="16" spans="1:37" ht="14.4" customHeight="1" x14ac:dyDescent="0.3">
      <c r="A16" s="59">
        <v>13</v>
      </c>
      <c r="B16" s="51">
        <v>591</v>
      </c>
      <c r="C16" t="str">
        <f>_xlfn.XLOOKUP(B16,Sheet2!B:B,Sheet2!C:C)</f>
        <v>Mandume Kaiyamo</v>
      </c>
      <c r="D16" s="52" t="str">
        <f>_xlfn.XLOOKUP(B16,Sheet2!B:B,Sheet2!G:G)</f>
        <v>NMSF468</v>
      </c>
      <c r="E16" s="51" t="str">
        <f>_xlfn.XLOOKUP(B16,Sheet2!B:B,Sheet2!H:H)</f>
        <v>NAM</v>
      </c>
      <c r="F16" s="30" t="str">
        <f>_xlfn.XLOOKUP(B16,Sheet2!B:B,Sheet2!D:D)</f>
        <v>KR</v>
      </c>
      <c r="G16" s="37">
        <v>3</v>
      </c>
      <c r="H16" s="51">
        <v>3</v>
      </c>
      <c r="I16" s="51">
        <v>0</v>
      </c>
      <c r="J16" s="51">
        <v>0</v>
      </c>
      <c r="K16" s="49">
        <f>SUM(Table62[[#This Row],[SARMC 1]:[SARMC 4]])</f>
        <v>6</v>
      </c>
      <c r="L16" s="37">
        <v>15</v>
      </c>
      <c r="M16" s="51">
        <v>21</v>
      </c>
      <c r="N16" s="38">
        <v>15</v>
      </c>
      <c r="O16" s="37">
        <v>18</v>
      </c>
      <c r="P16" s="51">
        <v>30</v>
      </c>
      <c r="Q16" s="38">
        <v>23</v>
      </c>
      <c r="R16" s="37">
        <v>22</v>
      </c>
      <c r="S16" s="51">
        <v>3</v>
      </c>
      <c r="T16" s="38">
        <v>17</v>
      </c>
      <c r="U16" s="37">
        <v>21</v>
      </c>
      <c r="V16" s="51">
        <v>19</v>
      </c>
      <c r="W16" s="51">
        <v>21</v>
      </c>
      <c r="X16" s="38">
        <v>25</v>
      </c>
      <c r="Y16" s="37">
        <f>LARGE((Table62[[#This Row],[K1]:[Z4]]),1)</f>
        <v>30</v>
      </c>
      <c r="Z16" s="51">
        <f>LARGE((Table62[[#This Row],[K1]:[Z4]]),2)</f>
        <v>25</v>
      </c>
      <c r="AA16" s="51">
        <f>LARGE((Table62[[#This Row],[K1]:[Z4]]),3)</f>
        <v>23</v>
      </c>
      <c r="AB16" s="51">
        <f>LARGE((Table62[[#This Row],[K1]:[Z4]]),4)</f>
        <v>22</v>
      </c>
      <c r="AC16" s="51">
        <f>LARGE((Table62[[#This Row],[K1]:[Z4]]),5)</f>
        <v>21</v>
      </c>
      <c r="AD16" s="51">
        <f>LARGE((Table62[[#This Row],[K1]:[Z4]]),6)</f>
        <v>21</v>
      </c>
      <c r="AE16" s="51">
        <f>LARGE((Table62[[#This Row],[K1]:[Z4]]),7)</f>
        <v>21</v>
      </c>
      <c r="AF16" s="51">
        <f>LARGE((Table62[[#This Row],[K1]:[Z4]]),8)</f>
        <v>19</v>
      </c>
      <c r="AG16" s="51">
        <f>LARGE((Table62[[#This Row],[K1]:[Z4]]),9)</f>
        <v>18</v>
      </c>
      <c r="AH16" s="38">
        <f>LARGE((Table62[[#This Row],[K1]:[Z4]]),10)</f>
        <v>17</v>
      </c>
      <c r="AI16" s="45">
        <f t="shared" si="0"/>
        <v>217</v>
      </c>
      <c r="AJ16" s="37">
        <f t="shared" si="1"/>
        <v>223</v>
      </c>
      <c r="AK16" s="11"/>
    </row>
    <row r="17" spans="1:37" ht="14.4" customHeight="1" x14ac:dyDescent="0.3">
      <c r="A17" s="59">
        <v>14</v>
      </c>
      <c r="B17" s="51">
        <v>558</v>
      </c>
      <c r="C17" t="str">
        <f>_xlfn.XLOOKUP(B17,Sheet2!B:B,Sheet2!C:C)</f>
        <v>Parker Van Der Molen</v>
      </c>
      <c r="D17" s="52">
        <f>_xlfn.XLOOKUP(B17,Sheet2!B:B,Sheet2!G:G)</f>
        <v>44345</v>
      </c>
      <c r="E17" s="51" t="str">
        <f>_xlfn.XLOOKUP(B17,Sheet2!B:B,Sheet2!H:H)</f>
        <v>NR</v>
      </c>
      <c r="F17" s="30" t="str">
        <f>_xlfn.XLOOKUP(B17,Sheet2!B:B,Sheet2!D:D)</f>
        <v>LNK</v>
      </c>
      <c r="G17" s="37">
        <v>3</v>
      </c>
      <c r="H17" s="51">
        <v>3</v>
      </c>
      <c r="I17" s="51">
        <v>3</v>
      </c>
      <c r="J17" s="51">
        <v>3</v>
      </c>
      <c r="K17" s="49">
        <f>SUM(Table62[[#This Row],[SARMC 1]:[SARMC 4]])</f>
        <v>12</v>
      </c>
      <c r="L17" s="37">
        <v>10</v>
      </c>
      <c r="M17" s="51">
        <v>14</v>
      </c>
      <c r="N17" s="38">
        <v>10</v>
      </c>
      <c r="O17" s="37">
        <v>24</v>
      </c>
      <c r="P17" s="51">
        <v>25</v>
      </c>
      <c r="Q17" s="38">
        <v>21</v>
      </c>
      <c r="R17" s="37">
        <v>23</v>
      </c>
      <c r="S17" s="51">
        <v>15</v>
      </c>
      <c r="T17" s="38">
        <v>20</v>
      </c>
      <c r="U17" s="37">
        <v>18</v>
      </c>
      <c r="V17" s="51">
        <v>25</v>
      </c>
      <c r="W17" s="51">
        <v>17</v>
      </c>
      <c r="X17" s="38">
        <v>19</v>
      </c>
      <c r="Y17" s="37">
        <f>LARGE((Table62[[#This Row],[K1]:[Z4]]),1)</f>
        <v>25</v>
      </c>
      <c r="Z17" s="51">
        <f>LARGE((Table62[[#This Row],[K1]:[Z4]]),2)</f>
        <v>25</v>
      </c>
      <c r="AA17" s="51">
        <f>LARGE((Table62[[#This Row],[K1]:[Z4]]),3)</f>
        <v>24</v>
      </c>
      <c r="AB17" s="51">
        <f>LARGE((Table62[[#This Row],[K1]:[Z4]]),4)</f>
        <v>23</v>
      </c>
      <c r="AC17" s="51">
        <f>LARGE((Table62[[#This Row],[K1]:[Z4]]),5)</f>
        <v>21</v>
      </c>
      <c r="AD17" s="51">
        <f>LARGE((Table62[[#This Row],[K1]:[Z4]]),6)</f>
        <v>20</v>
      </c>
      <c r="AE17" s="51">
        <f>LARGE((Table62[[#This Row],[K1]:[Z4]]),7)</f>
        <v>19</v>
      </c>
      <c r="AF17" s="51">
        <f>LARGE((Table62[[#This Row],[K1]:[Z4]]),8)</f>
        <v>18</v>
      </c>
      <c r="AG17" s="51">
        <f>LARGE((Table62[[#This Row],[K1]:[Z4]]),9)</f>
        <v>17</v>
      </c>
      <c r="AH17" s="38">
        <f>LARGE((Table62[[#This Row],[K1]:[Z4]]),10)</f>
        <v>15</v>
      </c>
      <c r="AI17" s="45">
        <f t="shared" si="0"/>
        <v>207</v>
      </c>
      <c r="AJ17" s="37">
        <f t="shared" si="1"/>
        <v>219</v>
      </c>
      <c r="AK17" s="11"/>
    </row>
    <row r="18" spans="1:37" ht="14.4" customHeight="1" x14ac:dyDescent="0.3">
      <c r="A18" s="59">
        <v>15</v>
      </c>
      <c r="B18" s="51">
        <v>554</v>
      </c>
      <c r="C18" t="s">
        <v>376</v>
      </c>
      <c r="D18" s="52">
        <v>45996</v>
      </c>
      <c r="E18" s="51" t="s">
        <v>44</v>
      </c>
      <c r="F18" s="30" t="s">
        <v>53</v>
      </c>
      <c r="G18" s="37">
        <v>0</v>
      </c>
      <c r="H18" s="51">
        <v>3</v>
      </c>
      <c r="I18" s="51">
        <v>3</v>
      </c>
      <c r="J18" s="51">
        <v>3</v>
      </c>
      <c r="K18" s="49">
        <f>SUM(Table62[[#This Row],[SARMC 1]:[SARMC 4]])</f>
        <v>9</v>
      </c>
      <c r="L18" s="37">
        <v>0</v>
      </c>
      <c r="M18" s="51">
        <v>0</v>
      </c>
      <c r="N18" s="38">
        <v>0</v>
      </c>
      <c r="O18" s="37">
        <v>22</v>
      </c>
      <c r="P18" s="51">
        <v>22</v>
      </c>
      <c r="Q18" s="38">
        <v>14</v>
      </c>
      <c r="R18" s="37">
        <v>17</v>
      </c>
      <c r="S18" s="51">
        <v>17</v>
      </c>
      <c r="T18" s="38">
        <v>13</v>
      </c>
      <c r="U18" s="37">
        <v>15</v>
      </c>
      <c r="V18" s="51">
        <v>16</v>
      </c>
      <c r="W18" s="51">
        <v>22</v>
      </c>
      <c r="X18" s="38">
        <v>16</v>
      </c>
      <c r="Y18" s="37">
        <f>LARGE((Table62[[#This Row],[K1]:[Z4]]),1)</f>
        <v>22</v>
      </c>
      <c r="Z18" s="51">
        <f>LARGE((Table62[[#This Row],[K1]:[Z4]]),2)</f>
        <v>22</v>
      </c>
      <c r="AA18" s="51">
        <f>LARGE((Table62[[#This Row],[K1]:[Z4]]),3)</f>
        <v>22</v>
      </c>
      <c r="AB18" s="51">
        <f>LARGE((Table62[[#This Row],[K1]:[Z4]]),4)</f>
        <v>17</v>
      </c>
      <c r="AC18" s="51">
        <f>LARGE((Table62[[#This Row],[K1]:[Z4]]),5)</f>
        <v>17</v>
      </c>
      <c r="AD18" s="51">
        <f>LARGE((Table62[[#This Row],[K1]:[Z4]]),6)</f>
        <v>16</v>
      </c>
      <c r="AE18" s="51">
        <f>LARGE((Table62[[#This Row],[K1]:[Z4]]),7)</f>
        <v>16</v>
      </c>
      <c r="AF18" s="51">
        <f>LARGE((Table62[[#This Row],[K1]:[Z4]]),8)</f>
        <v>15</v>
      </c>
      <c r="AG18" s="51">
        <f>LARGE((Table62[[#This Row],[K1]:[Z4]]),9)</f>
        <v>14</v>
      </c>
      <c r="AH18" s="38">
        <f>LARGE((Table62[[#This Row],[K1]:[Z4]]),10)</f>
        <v>13</v>
      </c>
      <c r="AI18" s="45">
        <f t="shared" si="0"/>
        <v>174</v>
      </c>
      <c r="AJ18" s="37">
        <f t="shared" si="1"/>
        <v>183</v>
      </c>
      <c r="AK18" s="11"/>
    </row>
    <row r="19" spans="1:37" ht="14.4" customHeight="1" x14ac:dyDescent="0.3">
      <c r="A19" s="59">
        <v>16</v>
      </c>
      <c r="B19" s="51">
        <v>551</v>
      </c>
      <c r="C19" t="str">
        <f>_xlfn.XLOOKUP(B19,Sheet2!B:B,Sheet2!C:C)</f>
        <v>Egor Grishin</v>
      </c>
      <c r="D19" s="52">
        <f>_xlfn.XLOOKUP(B19,Sheet2!B:B,Sheet2!G:G)</f>
        <v>39654</v>
      </c>
      <c r="E19" s="51" t="str">
        <f>_xlfn.XLOOKUP(B19,Sheet2!B:B,Sheet2!H:H)</f>
        <v>NR</v>
      </c>
      <c r="F19" s="30" t="str">
        <f>_xlfn.XLOOKUP(B19,Sheet2!B:B,Sheet2!D:D)</f>
        <v>FK</v>
      </c>
      <c r="G19" s="37">
        <v>2</v>
      </c>
      <c r="H19" s="51">
        <v>3</v>
      </c>
      <c r="I19" s="51">
        <v>3</v>
      </c>
      <c r="J19" s="51">
        <v>3</v>
      </c>
      <c r="K19" s="49">
        <f>SUM(Table62[[#This Row],[SARMC 1]:[SARMC 4]])</f>
        <v>11</v>
      </c>
      <c r="L19" s="37">
        <v>17</v>
      </c>
      <c r="M19" s="51">
        <v>19</v>
      </c>
      <c r="N19" s="38">
        <v>18</v>
      </c>
      <c r="O19" s="37">
        <v>20</v>
      </c>
      <c r="P19" s="51">
        <v>16</v>
      </c>
      <c r="Q19" s="38">
        <v>17</v>
      </c>
      <c r="R19" s="37">
        <v>19</v>
      </c>
      <c r="S19" s="51">
        <v>16</v>
      </c>
      <c r="T19" s="38">
        <v>16</v>
      </c>
      <c r="U19" s="37">
        <v>0</v>
      </c>
      <c r="V19" s="51">
        <v>0</v>
      </c>
      <c r="W19" s="51">
        <v>0</v>
      </c>
      <c r="X19" s="38">
        <v>0</v>
      </c>
      <c r="Y19" s="37">
        <f>LARGE((Table62[[#This Row],[K1]:[Z4]]),1)</f>
        <v>20</v>
      </c>
      <c r="Z19" s="51">
        <f>LARGE((Table62[[#This Row],[K1]:[Z4]]),2)</f>
        <v>19</v>
      </c>
      <c r="AA19" s="51">
        <f>LARGE((Table62[[#This Row],[K1]:[Z4]]),3)</f>
        <v>19</v>
      </c>
      <c r="AB19" s="51">
        <f>LARGE((Table62[[#This Row],[K1]:[Z4]]),4)</f>
        <v>18</v>
      </c>
      <c r="AC19" s="51">
        <f>LARGE((Table62[[#This Row],[K1]:[Z4]]),5)</f>
        <v>17</v>
      </c>
      <c r="AD19" s="51">
        <f>LARGE((Table62[[#This Row],[K1]:[Z4]]),6)</f>
        <v>17</v>
      </c>
      <c r="AE19" s="51">
        <f>LARGE((Table62[[#This Row],[K1]:[Z4]]),7)</f>
        <v>16</v>
      </c>
      <c r="AF19" s="51">
        <f>LARGE((Table62[[#This Row],[K1]:[Z4]]),8)</f>
        <v>16</v>
      </c>
      <c r="AG19" s="51">
        <f>LARGE((Table62[[#This Row],[K1]:[Z4]]),9)</f>
        <v>16</v>
      </c>
      <c r="AH19" s="38">
        <f>LARGE((Table62[[#This Row],[K1]:[Z4]]),10)</f>
        <v>0</v>
      </c>
      <c r="AI19" s="45">
        <f t="shared" si="0"/>
        <v>158</v>
      </c>
      <c r="AJ19" s="37">
        <f t="shared" si="1"/>
        <v>169</v>
      </c>
      <c r="AK19" s="11"/>
    </row>
    <row r="20" spans="1:37" ht="14.4" customHeight="1" x14ac:dyDescent="0.3">
      <c r="A20" s="59">
        <v>17</v>
      </c>
      <c r="B20" s="51">
        <v>589</v>
      </c>
      <c r="C20" t="str">
        <f>_xlfn.XLOOKUP(B20,Sheet2!B:B,Sheet2!C:C)</f>
        <v>Michael Omahoney</v>
      </c>
      <c r="D20" s="52">
        <f>_xlfn.XLOOKUP(B20,Sheet2!B:B,Sheet2!G:G)</f>
        <v>31973</v>
      </c>
      <c r="E20" s="51" t="str">
        <f>_xlfn.XLOOKUP(B20,Sheet2!B:B,Sheet2!H:H)</f>
        <v>WP</v>
      </c>
      <c r="F20" s="30" t="str">
        <f>_xlfn.XLOOKUP(B20,Sheet2!B:B,Sheet2!D:D)</f>
        <v>CRG</v>
      </c>
      <c r="G20" s="37">
        <v>3</v>
      </c>
      <c r="H20" s="51">
        <v>3</v>
      </c>
      <c r="I20" s="51">
        <v>3</v>
      </c>
      <c r="J20" s="51">
        <v>3</v>
      </c>
      <c r="K20" s="49">
        <f>SUM(Table62[[#This Row],[SARMC 1]:[SARMC 4]])</f>
        <v>12</v>
      </c>
      <c r="L20" s="37">
        <v>32</v>
      </c>
      <c r="M20" s="51">
        <v>29</v>
      </c>
      <c r="N20" s="38">
        <v>20</v>
      </c>
      <c r="O20" s="37">
        <v>0</v>
      </c>
      <c r="P20" s="51">
        <v>0</v>
      </c>
      <c r="Q20" s="38">
        <v>0</v>
      </c>
      <c r="R20" s="37">
        <v>27</v>
      </c>
      <c r="S20" s="51">
        <v>26</v>
      </c>
      <c r="T20" s="38">
        <v>23</v>
      </c>
      <c r="U20" s="37">
        <v>0</v>
      </c>
      <c r="V20" s="51">
        <v>0</v>
      </c>
      <c r="W20" s="51">
        <v>0</v>
      </c>
      <c r="X20" s="38">
        <v>0</v>
      </c>
      <c r="Y20" s="37">
        <f>LARGE((Table62[[#This Row],[K1]:[Z4]]),1)</f>
        <v>32</v>
      </c>
      <c r="Z20" s="51">
        <f>LARGE((Table62[[#This Row],[K1]:[Z4]]),2)</f>
        <v>29</v>
      </c>
      <c r="AA20" s="51">
        <f>LARGE((Table62[[#This Row],[K1]:[Z4]]),3)</f>
        <v>27</v>
      </c>
      <c r="AB20" s="51">
        <f>LARGE((Table62[[#This Row],[K1]:[Z4]]),4)</f>
        <v>26</v>
      </c>
      <c r="AC20" s="51">
        <f>LARGE((Table62[[#This Row],[K1]:[Z4]]),5)</f>
        <v>23</v>
      </c>
      <c r="AD20" s="51">
        <f>LARGE((Table62[[#This Row],[K1]:[Z4]]),6)</f>
        <v>20</v>
      </c>
      <c r="AE20" s="51">
        <f>LARGE((Table62[[#This Row],[K1]:[Z4]]),7)</f>
        <v>0</v>
      </c>
      <c r="AF20" s="51">
        <f>LARGE((Table62[[#This Row],[K1]:[Z4]]),8)</f>
        <v>0</v>
      </c>
      <c r="AG20" s="51">
        <f>LARGE((Table62[[#This Row],[K1]:[Z4]]),9)</f>
        <v>0</v>
      </c>
      <c r="AH20" s="38">
        <f>LARGE((Table62[[#This Row],[K1]:[Z4]]),10)</f>
        <v>0</v>
      </c>
      <c r="AI20" s="45">
        <f t="shared" si="0"/>
        <v>157</v>
      </c>
      <c r="AJ20" s="37">
        <f t="shared" si="1"/>
        <v>169</v>
      </c>
      <c r="AK20" s="11"/>
    </row>
    <row r="21" spans="1:37" ht="14.4" x14ac:dyDescent="0.3">
      <c r="A21" s="59">
        <v>18</v>
      </c>
      <c r="B21" s="51">
        <v>555</v>
      </c>
      <c r="C21" t="str">
        <f>_xlfn.XLOOKUP(B21,Sheet2!B:B,Sheet2!C:C)</f>
        <v>Zac Boshoff</v>
      </c>
      <c r="D21" s="52">
        <f>_xlfn.XLOOKUP(B21,Sheet2!B:B,Sheet2!G:G)</f>
        <v>31242</v>
      </c>
      <c r="E21" s="51" t="str">
        <f>_xlfn.XLOOKUP(B21,Sheet2!B:B,Sheet2!H:H)</f>
        <v>WP</v>
      </c>
      <c r="F21" s="30" t="str">
        <f>_xlfn.XLOOKUP(B21,Sheet2!B:B,Sheet2!D:D)</f>
        <v>CRG</v>
      </c>
      <c r="G21" s="37">
        <v>3</v>
      </c>
      <c r="H21" s="51">
        <v>3</v>
      </c>
      <c r="I21" s="51">
        <v>3</v>
      </c>
      <c r="J21" s="51">
        <v>3</v>
      </c>
      <c r="K21" s="49">
        <f>SUM(Table62[[#This Row],[SARMC 1]:[SARMC 4]])</f>
        <v>12</v>
      </c>
      <c r="L21" s="37">
        <v>24</v>
      </c>
      <c r="M21" s="51">
        <v>12</v>
      </c>
      <c r="N21" s="38">
        <v>26</v>
      </c>
      <c r="O21" s="37">
        <v>0</v>
      </c>
      <c r="P21" s="51">
        <v>0</v>
      </c>
      <c r="Q21" s="38">
        <v>0</v>
      </c>
      <c r="R21" s="37">
        <v>30</v>
      </c>
      <c r="S21" s="51">
        <v>24</v>
      </c>
      <c r="T21" s="38">
        <v>29</v>
      </c>
      <c r="U21" s="37">
        <v>0</v>
      </c>
      <c r="V21" s="51">
        <v>0</v>
      </c>
      <c r="W21" s="51">
        <v>0</v>
      </c>
      <c r="X21" s="38">
        <v>0</v>
      </c>
      <c r="Y21" s="37">
        <f>LARGE((Table62[[#This Row],[K1]:[Z4]]),1)</f>
        <v>30</v>
      </c>
      <c r="Z21" s="51">
        <f>LARGE((Table62[[#This Row],[K1]:[Z4]]),2)</f>
        <v>29</v>
      </c>
      <c r="AA21" s="51">
        <f>LARGE((Table62[[#This Row],[K1]:[Z4]]),3)</f>
        <v>26</v>
      </c>
      <c r="AB21" s="51">
        <f>LARGE((Table62[[#This Row],[K1]:[Z4]]),4)</f>
        <v>24</v>
      </c>
      <c r="AC21" s="51">
        <f>LARGE((Table62[[#This Row],[K1]:[Z4]]),5)</f>
        <v>24</v>
      </c>
      <c r="AD21" s="51">
        <f>LARGE((Table62[[#This Row],[K1]:[Z4]]),6)</f>
        <v>12</v>
      </c>
      <c r="AE21" s="51">
        <f>LARGE((Table62[[#This Row],[K1]:[Z4]]),7)</f>
        <v>0</v>
      </c>
      <c r="AF21" s="51">
        <f>LARGE((Table62[[#This Row],[K1]:[Z4]]),8)</f>
        <v>0</v>
      </c>
      <c r="AG21" s="51">
        <f>LARGE((Table62[[#This Row],[K1]:[Z4]]),9)</f>
        <v>0</v>
      </c>
      <c r="AH21" s="38">
        <f>LARGE((Table62[[#This Row],[K1]:[Z4]]),10)</f>
        <v>0</v>
      </c>
      <c r="AI21" s="45">
        <f t="shared" si="0"/>
        <v>145</v>
      </c>
      <c r="AJ21" s="37">
        <f t="shared" si="1"/>
        <v>157</v>
      </c>
      <c r="AK21" s="11"/>
    </row>
    <row r="22" spans="1:37" ht="14.4" x14ac:dyDescent="0.3">
      <c r="A22" s="59">
        <v>19</v>
      </c>
      <c r="B22" s="51">
        <v>563</v>
      </c>
      <c r="C22" t="s">
        <v>445</v>
      </c>
      <c r="D22" s="52">
        <v>43664</v>
      </c>
      <c r="E22" s="51" t="s">
        <v>36</v>
      </c>
      <c r="F22" s="30" t="s">
        <v>353</v>
      </c>
      <c r="G22" s="37">
        <v>0</v>
      </c>
      <c r="H22" s="51">
        <v>3</v>
      </c>
      <c r="I22" s="51">
        <v>0</v>
      </c>
      <c r="J22" s="51">
        <v>3</v>
      </c>
      <c r="K22" s="49">
        <f>SUM(Table62[[#This Row],[SARMC 1]:[SARMC 4]])</f>
        <v>6</v>
      </c>
      <c r="L22" s="37">
        <v>0</v>
      </c>
      <c r="M22" s="51">
        <v>0</v>
      </c>
      <c r="N22" s="38">
        <v>0</v>
      </c>
      <c r="O22" s="37">
        <v>21</v>
      </c>
      <c r="P22" s="51">
        <v>20</v>
      </c>
      <c r="Q22" s="38">
        <v>16</v>
      </c>
      <c r="R22" s="37">
        <v>0</v>
      </c>
      <c r="S22" s="51">
        <v>0</v>
      </c>
      <c r="T22" s="38">
        <v>0</v>
      </c>
      <c r="U22" s="37">
        <v>17</v>
      </c>
      <c r="V22" s="51">
        <v>17</v>
      </c>
      <c r="W22" s="51">
        <v>20</v>
      </c>
      <c r="X22" s="38">
        <v>21</v>
      </c>
      <c r="Y22" s="37">
        <f>LARGE((Table62[[#This Row],[K1]:[Z4]]),1)</f>
        <v>21</v>
      </c>
      <c r="Z22" s="51">
        <f>LARGE((Table62[[#This Row],[K1]:[Z4]]),2)</f>
        <v>21</v>
      </c>
      <c r="AA22" s="51">
        <f>LARGE((Table62[[#This Row],[K1]:[Z4]]),3)</f>
        <v>20</v>
      </c>
      <c r="AB22" s="51">
        <f>LARGE((Table62[[#This Row],[K1]:[Z4]]),4)</f>
        <v>20</v>
      </c>
      <c r="AC22" s="51">
        <f>LARGE((Table62[[#This Row],[K1]:[Z4]]),5)</f>
        <v>17</v>
      </c>
      <c r="AD22" s="51">
        <f>LARGE((Table62[[#This Row],[K1]:[Z4]]),6)</f>
        <v>17</v>
      </c>
      <c r="AE22" s="51">
        <f>LARGE((Table62[[#This Row],[K1]:[Z4]]),7)</f>
        <v>16</v>
      </c>
      <c r="AF22" s="51">
        <f>LARGE((Table62[[#This Row],[K1]:[Z4]]),8)</f>
        <v>0</v>
      </c>
      <c r="AG22" s="51">
        <f>LARGE((Table62[[#This Row],[K1]:[Z4]]),9)</f>
        <v>0</v>
      </c>
      <c r="AH22" s="38">
        <f>LARGE((Table62[[#This Row],[K1]:[Z4]]),10)</f>
        <v>0</v>
      </c>
      <c r="AI22" s="45">
        <f t="shared" si="0"/>
        <v>132</v>
      </c>
      <c r="AJ22" s="37">
        <f t="shared" si="1"/>
        <v>138</v>
      </c>
      <c r="AK22" s="11"/>
    </row>
    <row r="23" spans="1:37" ht="14.4" x14ac:dyDescent="0.3">
      <c r="A23" s="59">
        <v>20</v>
      </c>
      <c r="B23" s="51">
        <v>576</v>
      </c>
      <c r="C23" t="str">
        <f>_xlfn.XLOOKUP(B23,Sheet2!B:B,Sheet2!C:C)</f>
        <v>Yonatan Fine</v>
      </c>
      <c r="D23" s="52" t="str">
        <f>_xlfn.XLOOKUP(B23,Sheet2!B:B,Sheet2!G:G)</f>
        <v>000</v>
      </c>
      <c r="E23" s="51" t="str">
        <f>_xlfn.XLOOKUP(B23,Sheet2!B:B,Sheet2!H:H)</f>
        <v>WP</v>
      </c>
      <c r="F23" s="30" t="str">
        <f>_xlfn.XLOOKUP(B23,Sheet2!B:B,Sheet2!D:D)</f>
        <v>BIRELART</v>
      </c>
      <c r="G23" s="37">
        <v>3</v>
      </c>
      <c r="H23" s="51">
        <v>3</v>
      </c>
      <c r="I23" s="51">
        <v>3</v>
      </c>
      <c r="J23" s="51">
        <v>3</v>
      </c>
      <c r="K23" s="49">
        <f>SUM(Table62[[#This Row],[SARMC 1]:[SARMC 4]])</f>
        <v>12</v>
      </c>
      <c r="L23" s="37">
        <v>12</v>
      </c>
      <c r="M23" s="51">
        <v>15</v>
      </c>
      <c r="N23" s="38">
        <v>13</v>
      </c>
      <c r="O23" s="37">
        <v>15</v>
      </c>
      <c r="P23" s="51">
        <v>17</v>
      </c>
      <c r="Q23" s="38">
        <v>13</v>
      </c>
      <c r="R23" s="37">
        <v>11</v>
      </c>
      <c r="S23" s="51">
        <v>13</v>
      </c>
      <c r="T23" s="38">
        <v>15</v>
      </c>
      <c r="U23" s="37">
        <v>0</v>
      </c>
      <c r="V23" s="51">
        <v>0</v>
      </c>
      <c r="W23" s="51">
        <v>0</v>
      </c>
      <c r="X23" s="38">
        <v>0</v>
      </c>
      <c r="Y23" s="37">
        <f>LARGE((Table62[[#This Row],[K1]:[Z4]]),1)</f>
        <v>17</v>
      </c>
      <c r="Z23" s="51">
        <f>LARGE((Table62[[#This Row],[K1]:[Z4]]),2)</f>
        <v>15</v>
      </c>
      <c r="AA23" s="51">
        <f>LARGE((Table62[[#This Row],[K1]:[Z4]]),3)</f>
        <v>15</v>
      </c>
      <c r="AB23" s="51">
        <f>LARGE((Table62[[#This Row],[K1]:[Z4]]),4)</f>
        <v>15</v>
      </c>
      <c r="AC23" s="51">
        <f>LARGE((Table62[[#This Row],[K1]:[Z4]]),5)</f>
        <v>13</v>
      </c>
      <c r="AD23" s="51">
        <f>LARGE((Table62[[#This Row],[K1]:[Z4]]),6)</f>
        <v>13</v>
      </c>
      <c r="AE23" s="51">
        <f>LARGE((Table62[[#This Row],[K1]:[Z4]]),7)</f>
        <v>13</v>
      </c>
      <c r="AF23" s="51">
        <f>LARGE((Table62[[#This Row],[K1]:[Z4]]),8)</f>
        <v>12</v>
      </c>
      <c r="AG23" s="51">
        <f>LARGE((Table62[[#This Row],[K1]:[Z4]]),9)</f>
        <v>11</v>
      </c>
      <c r="AH23" s="38">
        <f>LARGE((Table62[[#This Row],[K1]:[Z4]]),10)</f>
        <v>0</v>
      </c>
      <c r="AI23" s="45">
        <f t="shared" si="0"/>
        <v>124</v>
      </c>
      <c r="AJ23" s="37">
        <f t="shared" si="1"/>
        <v>136</v>
      </c>
      <c r="AK23" s="11"/>
    </row>
    <row r="24" spans="1:37" ht="14.4" x14ac:dyDescent="0.3">
      <c r="A24" s="59">
        <v>21</v>
      </c>
      <c r="B24" s="51">
        <v>507</v>
      </c>
      <c r="C24" t="str">
        <f>_xlfn.XLOOKUP(B24,Sheet2!B:B,Sheet2!C:C)</f>
        <v>Eduardo Campos</v>
      </c>
      <c r="D24" s="52" t="str">
        <f>_xlfn.XLOOKUP(B24,Sheet2!B:B,Sheet2!G:G)</f>
        <v>D01625MZ</v>
      </c>
      <c r="E24" s="51" t="str">
        <f>_xlfn.XLOOKUP(B24,Sheet2!B:B,Sheet2!H:H)</f>
        <v>MOZ</v>
      </c>
      <c r="F24" s="30" t="str">
        <f>_xlfn.XLOOKUP(B24,Sheet2!B:B,Sheet2!D:D)</f>
        <v>KOSMIC</v>
      </c>
      <c r="G24" s="37">
        <v>3</v>
      </c>
      <c r="H24" s="51">
        <v>0</v>
      </c>
      <c r="I24" s="51">
        <v>0</v>
      </c>
      <c r="J24" s="51">
        <v>0</v>
      </c>
      <c r="K24" s="49">
        <f>SUM(Table62[[#This Row],[SARMC 1]:[SARMC 4]])</f>
        <v>3</v>
      </c>
      <c r="L24" s="37">
        <v>0</v>
      </c>
      <c r="M24" s="51">
        <v>0</v>
      </c>
      <c r="N24" s="38">
        <v>0</v>
      </c>
      <c r="O24" s="37">
        <v>17</v>
      </c>
      <c r="P24" s="51">
        <v>21</v>
      </c>
      <c r="Q24" s="38">
        <v>18</v>
      </c>
      <c r="R24" s="37">
        <v>16</v>
      </c>
      <c r="S24" s="51">
        <v>20</v>
      </c>
      <c r="T24" s="38">
        <v>19</v>
      </c>
      <c r="U24" s="37">
        <v>0</v>
      </c>
      <c r="V24" s="51">
        <v>0</v>
      </c>
      <c r="W24" s="51">
        <v>0</v>
      </c>
      <c r="X24" s="38">
        <v>0</v>
      </c>
      <c r="Y24" s="37">
        <f>LARGE((Table62[[#This Row],[K1]:[Z4]]),1)</f>
        <v>21</v>
      </c>
      <c r="Z24" s="51">
        <f>LARGE((Table62[[#This Row],[K1]:[Z4]]),2)</f>
        <v>20</v>
      </c>
      <c r="AA24" s="51">
        <f>LARGE((Table62[[#This Row],[K1]:[Z4]]),3)</f>
        <v>19</v>
      </c>
      <c r="AB24" s="51">
        <f>LARGE((Table62[[#This Row],[K1]:[Z4]]),4)</f>
        <v>18</v>
      </c>
      <c r="AC24" s="51">
        <f>LARGE((Table62[[#This Row],[K1]:[Z4]]),5)</f>
        <v>17</v>
      </c>
      <c r="AD24" s="51">
        <f>LARGE((Table62[[#This Row],[K1]:[Z4]]),6)</f>
        <v>16</v>
      </c>
      <c r="AE24" s="51">
        <f>LARGE((Table62[[#This Row],[K1]:[Z4]]),7)</f>
        <v>0</v>
      </c>
      <c r="AF24" s="51">
        <f>LARGE((Table62[[#This Row],[K1]:[Z4]]),8)</f>
        <v>0</v>
      </c>
      <c r="AG24" s="51">
        <f>LARGE((Table62[[#This Row],[K1]:[Z4]]),9)</f>
        <v>0</v>
      </c>
      <c r="AH24" s="38">
        <f>LARGE((Table62[[#This Row],[K1]:[Z4]]),10)</f>
        <v>0</v>
      </c>
      <c r="AI24" s="45">
        <f t="shared" si="0"/>
        <v>111</v>
      </c>
      <c r="AJ24" s="37">
        <f t="shared" si="1"/>
        <v>114</v>
      </c>
      <c r="AK24" s="11"/>
    </row>
    <row r="25" spans="1:37" ht="14.4" x14ac:dyDescent="0.3">
      <c r="A25" s="59">
        <v>22</v>
      </c>
      <c r="B25" s="51">
        <v>512</v>
      </c>
      <c r="C25" t="str">
        <f>_xlfn.XLOOKUP(B25,Sheet2!B:B,Sheet2!C:C)</f>
        <v>Hunter North</v>
      </c>
      <c r="D25" s="52">
        <f>_xlfn.XLOOKUP(B25,Sheet2!B:B,Sheet2!G:G)</f>
        <v>35901</v>
      </c>
      <c r="E25" s="51" t="str">
        <f>_xlfn.XLOOKUP(B25,Sheet2!B:B,Sheet2!H:H)</f>
        <v>NR</v>
      </c>
      <c r="F25" s="30" t="str">
        <f>_xlfn.XLOOKUP(B25,Sheet2!B:B,Sheet2!D:D)</f>
        <v>CRG</v>
      </c>
      <c r="G25" s="37">
        <v>1</v>
      </c>
      <c r="H25" s="51">
        <v>0</v>
      </c>
      <c r="I25" s="51">
        <v>3</v>
      </c>
      <c r="J25" s="51">
        <v>3</v>
      </c>
      <c r="K25" s="49">
        <f>SUM(Table62[[#This Row],[SARMC 1]:[SARMC 4]])</f>
        <v>7</v>
      </c>
      <c r="L25" s="37">
        <v>0</v>
      </c>
      <c r="M25" s="51">
        <v>0</v>
      </c>
      <c r="N25" s="38">
        <v>0</v>
      </c>
      <c r="O25" s="37">
        <v>0</v>
      </c>
      <c r="P25" s="51">
        <v>0</v>
      </c>
      <c r="Q25" s="38">
        <v>0</v>
      </c>
      <c r="R25" s="37">
        <v>10</v>
      </c>
      <c r="S25" s="51">
        <v>12</v>
      </c>
      <c r="T25" s="38">
        <v>11</v>
      </c>
      <c r="U25" s="37">
        <v>14</v>
      </c>
      <c r="V25" s="51">
        <v>15</v>
      </c>
      <c r="W25" s="51">
        <v>23</v>
      </c>
      <c r="X25" s="38">
        <v>18</v>
      </c>
      <c r="Y25" s="37">
        <f>LARGE((Table62[[#This Row],[K1]:[Z4]]),1)</f>
        <v>23</v>
      </c>
      <c r="Z25" s="51">
        <f>LARGE((Table62[[#This Row],[K1]:[Z4]]),2)</f>
        <v>18</v>
      </c>
      <c r="AA25" s="51">
        <f>LARGE((Table62[[#This Row],[K1]:[Z4]]),3)</f>
        <v>15</v>
      </c>
      <c r="AB25" s="51">
        <f>LARGE((Table62[[#This Row],[K1]:[Z4]]),4)</f>
        <v>14</v>
      </c>
      <c r="AC25" s="51">
        <f>LARGE((Table62[[#This Row],[K1]:[Z4]]),5)</f>
        <v>12</v>
      </c>
      <c r="AD25" s="51">
        <f>LARGE((Table62[[#This Row],[K1]:[Z4]]),6)</f>
        <v>11</v>
      </c>
      <c r="AE25" s="51">
        <f>LARGE((Table62[[#This Row],[K1]:[Z4]]),7)</f>
        <v>10</v>
      </c>
      <c r="AF25" s="51">
        <f>LARGE((Table62[[#This Row],[K1]:[Z4]]),8)</f>
        <v>0</v>
      </c>
      <c r="AG25" s="51">
        <f>LARGE((Table62[[#This Row],[K1]:[Z4]]),9)</f>
        <v>0</v>
      </c>
      <c r="AH25" s="38">
        <f>LARGE((Table62[[#This Row],[K1]:[Z4]]),10)</f>
        <v>0</v>
      </c>
      <c r="AI25" s="45">
        <f t="shared" si="0"/>
        <v>103</v>
      </c>
      <c r="AJ25" s="37">
        <f t="shared" si="1"/>
        <v>110</v>
      </c>
      <c r="AK25" s="11"/>
    </row>
    <row r="26" spans="1:37" ht="14.4" x14ac:dyDescent="0.3">
      <c r="A26" s="59">
        <v>23</v>
      </c>
      <c r="B26" s="51">
        <v>535</v>
      </c>
      <c r="C26" t="str">
        <f>_xlfn.XLOOKUP(B26,Sheet2!B:B,Sheet2!C:C)</f>
        <v>Logan Roehrig</v>
      </c>
      <c r="D26" s="52">
        <f>_xlfn.XLOOKUP(B26,Sheet2!B:B,Sheet2!G:G)</f>
        <v>33342</v>
      </c>
      <c r="E26" s="51" t="str">
        <f>_xlfn.XLOOKUP(B26,Sheet2!B:B,Sheet2!H:H)</f>
        <v>WP</v>
      </c>
      <c r="F26" s="30" t="str">
        <f>_xlfn.XLOOKUP(B26,Sheet2!B:B,Sheet2!D:D)</f>
        <v>KR</v>
      </c>
      <c r="G26" s="37">
        <v>3</v>
      </c>
      <c r="H26" s="51">
        <v>3</v>
      </c>
      <c r="I26" s="51">
        <v>3</v>
      </c>
      <c r="J26" s="51">
        <v>3</v>
      </c>
      <c r="K26" s="49">
        <f>SUM(Table62[[#This Row],[SARMC 1]:[SARMC 4]])</f>
        <v>12</v>
      </c>
      <c r="L26" s="37">
        <v>35</v>
      </c>
      <c r="M26" s="51">
        <v>32</v>
      </c>
      <c r="N26" s="38">
        <v>29</v>
      </c>
      <c r="O26" s="37">
        <v>0</v>
      </c>
      <c r="P26" s="51">
        <v>0</v>
      </c>
      <c r="Q26" s="38">
        <v>0</v>
      </c>
      <c r="R26" s="37">
        <v>0</v>
      </c>
      <c r="S26" s="51">
        <v>0</v>
      </c>
      <c r="T26" s="38">
        <v>0</v>
      </c>
      <c r="U26" s="37">
        <v>0</v>
      </c>
      <c r="V26" s="51">
        <v>0</v>
      </c>
      <c r="W26" s="51">
        <v>0</v>
      </c>
      <c r="X26" s="38">
        <v>0</v>
      </c>
      <c r="Y26" s="37">
        <f>LARGE((Table62[[#This Row],[K1]:[Z4]]),1)</f>
        <v>35</v>
      </c>
      <c r="Z26" s="51">
        <f>LARGE((Table62[[#This Row],[K1]:[Z4]]),2)</f>
        <v>32</v>
      </c>
      <c r="AA26" s="51">
        <f>LARGE((Table62[[#This Row],[K1]:[Z4]]),3)</f>
        <v>29</v>
      </c>
      <c r="AB26" s="51">
        <f>LARGE((Table62[[#This Row],[K1]:[Z4]]),4)</f>
        <v>0</v>
      </c>
      <c r="AC26" s="51">
        <f>LARGE((Table62[[#This Row],[K1]:[Z4]]),5)</f>
        <v>0</v>
      </c>
      <c r="AD26" s="51">
        <f>LARGE((Table62[[#This Row],[K1]:[Z4]]),6)</f>
        <v>0</v>
      </c>
      <c r="AE26" s="51">
        <f>LARGE((Table62[[#This Row],[K1]:[Z4]]),7)</f>
        <v>0</v>
      </c>
      <c r="AF26" s="51">
        <f>LARGE((Table62[[#This Row],[K1]:[Z4]]),8)</f>
        <v>0</v>
      </c>
      <c r="AG26" s="51">
        <f>LARGE((Table62[[#This Row],[K1]:[Z4]]),9)</f>
        <v>0</v>
      </c>
      <c r="AH26" s="38">
        <f>LARGE((Table62[[#This Row],[K1]:[Z4]]),10)</f>
        <v>0</v>
      </c>
      <c r="AI26" s="45">
        <f t="shared" si="0"/>
        <v>96</v>
      </c>
      <c r="AJ26" s="37">
        <f t="shared" si="1"/>
        <v>108</v>
      </c>
      <c r="AK26" s="11"/>
    </row>
    <row r="27" spans="1:37" ht="14.4" x14ac:dyDescent="0.3">
      <c r="A27" s="59">
        <v>24</v>
      </c>
      <c r="B27" s="51">
        <v>559</v>
      </c>
      <c r="C27" t="str">
        <f>_xlfn.XLOOKUP(B27,Sheet2!B:B,Sheet2!C:C)</f>
        <v>Igor Esteves</v>
      </c>
      <c r="D27" s="52">
        <f>_xlfn.XLOOKUP(B27,Sheet2!B:B,Sheet2!G:G)</f>
        <v>2324</v>
      </c>
      <c r="E27" s="51" t="str">
        <f>_xlfn.XLOOKUP(B27,Sheet2!B:B,Sheet2!H:H)</f>
        <v>MOZ</v>
      </c>
      <c r="F27" s="30" t="s">
        <v>504</v>
      </c>
      <c r="G27" s="37">
        <v>3</v>
      </c>
      <c r="H27" s="51">
        <v>0</v>
      </c>
      <c r="I27" s="51">
        <v>0</v>
      </c>
      <c r="J27" s="51">
        <v>0</v>
      </c>
      <c r="K27" s="49">
        <f>SUM(Table62[[#This Row],[SARMC 1]:[SARMC 4]])</f>
        <v>3</v>
      </c>
      <c r="L27" s="37">
        <v>0</v>
      </c>
      <c r="M27" s="51">
        <v>0</v>
      </c>
      <c r="N27" s="38">
        <v>0</v>
      </c>
      <c r="O27" s="37">
        <v>0</v>
      </c>
      <c r="P27" s="51">
        <v>0</v>
      </c>
      <c r="Q27" s="38">
        <v>0</v>
      </c>
      <c r="R27" s="37">
        <v>13</v>
      </c>
      <c r="S27" s="51">
        <v>14</v>
      </c>
      <c r="T27" s="38">
        <v>12</v>
      </c>
      <c r="U27" s="37">
        <v>16</v>
      </c>
      <c r="V27" s="51">
        <v>14</v>
      </c>
      <c r="W27" s="51">
        <v>19</v>
      </c>
      <c r="X27" s="38">
        <v>15</v>
      </c>
      <c r="Y27" s="37">
        <f>LARGE((Table62[[#This Row],[K1]:[Z4]]),1)</f>
        <v>19</v>
      </c>
      <c r="Z27" s="51">
        <f>LARGE((Table62[[#This Row],[K1]:[Z4]]),2)</f>
        <v>16</v>
      </c>
      <c r="AA27" s="51">
        <f>LARGE((Table62[[#This Row],[K1]:[Z4]]),3)</f>
        <v>15</v>
      </c>
      <c r="AB27" s="51">
        <f>LARGE((Table62[[#This Row],[K1]:[Z4]]),4)</f>
        <v>14</v>
      </c>
      <c r="AC27" s="51">
        <f>LARGE((Table62[[#This Row],[K1]:[Z4]]),5)</f>
        <v>14</v>
      </c>
      <c r="AD27" s="51">
        <f>LARGE((Table62[[#This Row],[K1]:[Z4]]),6)</f>
        <v>13</v>
      </c>
      <c r="AE27" s="51">
        <f>LARGE((Table62[[#This Row],[K1]:[Z4]]),7)</f>
        <v>12</v>
      </c>
      <c r="AF27" s="51">
        <f>LARGE((Table62[[#This Row],[K1]:[Z4]]),8)</f>
        <v>0</v>
      </c>
      <c r="AG27" s="51">
        <f>LARGE((Table62[[#This Row],[K1]:[Z4]]),9)</f>
        <v>0</v>
      </c>
      <c r="AH27" s="38">
        <f>LARGE((Table62[[#This Row],[K1]:[Z4]]),10)</f>
        <v>0</v>
      </c>
      <c r="AI27" s="45">
        <f t="shared" si="0"/>
        <v>103</v>
      </c>
      <c r="AJ27" s="37">
        <f t="shared" si="1"/>
        <v>106</v>
      </c>
      <c r="AK27" s="11"/>
    </row>
    <row r="28" spans="1:37" ht="14.4" x14ac:dyDescent="0.3">
      <c r="A28" s="59">
        <v>25</v>
      </c>
      <c r="B28" s="51">
        <v>599</v>
      </c>
      <c r="C28" t="str">
        <f>_xlfn.XLOOKUP(B28,Sheet2!B:B,Sheet2!C:C)</f>
        <v>Radhi Harris</v>
      </c>
      <c r="D28" s="52">
        <f>_xlfn.XLOOKUP(B28,Sheet2!B:B,Sheet2!G:G)</f>
        <v>37271</v>
      </c>
      <c r="E28" s="51" t="str">
        <f>_xlfn.XLOOKUP(B28,Sheet2!B:B,Sheet2!H:H)</f>
        <v>WP</v>
      </c>
      <c r="F28" s="30" t="s">
        <v>53</v>
      </c>
      <c r="G28" s="37">
        <v>0</v>
      </c>
      <c r="H28" s="51">
        <v>0</v>
      </c>
      <c r="I28" s="51">
        <v>3</v>
      </c>
      <c r="J28" s="51">
        <v>3</v>
      </c>
      <c r="K28" s="49">
        <f>SUM(Table62[[#This Row],[SARMC 1]:[SARMC 4]])</f>
        <v>6</v>
      </c>
      <c r="L28" s="37">
        <v>0</v>
      </c>
      <c r="M28" s="51">
        <v>0</v>
      </c>
      <c r="N28" s="38">
        <v>0</v>
      </c>
      <c r="O28" s="37">
        <v>0</v>
      </c>
      <c r="P28" s="51">
        <v>0</v>
      </c>
      <c r="Q28" s="38">
        <v>0</v>
      </c>
      <c r="R28" s="37">
        <v>0</v>
      </c>
      <c r="S28" s="51">
        <v>0</v>
      </c>
      <c r="T28" s="38">
        <v>0</v>
      </c>
      <c r="U28" s="37">
        <v>23</v>
      </c>
      <c r="V28" s="51">
        <v>21</v>
      </c>
      <c r="W28" s="51">
        <v>26</v>
      </c>
      <c r="X28" s="38">
        <v>24</v>
      </c>
      <c r="Y28" s="37">
        <f>LARGE((Table62[[#This Row],[K1]:[Z4]]),1)</f>
        <v>26</v>
      </c>
      <c r="Z28" s="51">
        <f>LARGE((Table62[[#This Row],[K1]:[Z4]]),2)</f>
        <v>24</v>
      </c>
      <c r="AA28" s="51">
        <f>LARGE((Table62[[#This Row],[K1]:[Z4]]),3)</f>
        <v>23</v>
      </c>
      <c r="AB28" s="51">
        <f>LARGE((Table62[[#This Row],[K1]:[Z4]]),4)</f>
        <v>21</v>
      </c>
      <c r="AC28" s="51">
        <f>LARGE((Table62[[#This Row],[K1]:[Z4]]),5)</f>
        <v>0</v>
      </c>
      <c r="AD28" s="51">
        <f>LARGE((Table62[[#This Row],[K1]:[Z4]]),6)</f>
        <v>0</v>
      </c>
      <c r="AE28" s="51">
        <f>LARGE((Table62[[#This Row],[K1]:[Z4]]),7)</f>
        <v>0</v>
      </c>
      <c r="AF28" s="51">
        <f>LARGE((Table62[[#This Row],[K1]:[Z4]]),8)</f>
        <v>0</v>
      </c>
      <c r="AG28" s="51">
        <f>LARGE((Table62[[#This Row],[K1]:[Z4]]),9)</f>
        <v>0</v>
      </c>
      <c r="AH28" s="38">
        <f>LARGE((Table62[[#This Row],[K1]:[Z4]]),10)</f>
        <v>0</v>
      </c>
      <c r="AI28" s="45">
        <f t="shared" si="0"/>
        <v>94</v>
      </c>
      <c r="AJ28" s="37">
        <f t="shared" si="1"/>
        <v>100</v>
      </c>
      <c r="AK28" s="11"/>
    </row>
    <row r="29" spans="1:37" ht="14.4" customHeight="1" x14ac:dyDescent="0.3">
      <c r="A29" s="59">
        <v>26</v>
      </c>
      <c r="B29" s="51">
        <v>539</v>
      </c>
      <c r="C29" t="str">
        <f>_xlfn.XLOOKUP(B29,Sheet2!B:B,Sheet2!C:C)</f>
        <v>Yaqeen Gamieldien</v>
      </c>
      <c r="D29" s="52">
        <f>_xlfn.XLOOKUP(B29,Sheet2!B:B,Sheet2!G:G)</f>
        <v>0</v>
      </c>
      <c r="E29" s="51" t="str">
        <f>_xlfn.XLOOKUP(B29,Sheet2!B:B,Sheet2!H:H)</f>
        <v>WP</v>
      </c>
      <c r="F29" s="30" t="str">
        <f>_xlfn.XLOOKUP(B29,Sheet2!B:B,Sheet2!D:D)</f>
        <v>CRG</v>
      </c>
      <c r="G29" s="37">
        <v>3</v>
      </c>
      <c r="H29" s="51">
        <v>3</v>
      </c>
      <c r="I29" s="51">
        <v>3</v>
      </c>
      <c r="J29" s="51">
        <v>1</v>
      </c>
      <c r="K29" s="49">
        <f>SUM(Table62[[#This Row],[SARMC 1]:[SARMC 4]])</f>
        <v>10</v>
      </c>
      <c r="L29" s="37">
        <v>28</v>
      </c>
      <c r="M29" s="51">
        <v>28</v>
      </c>
      <c r="N29" s="38">
        <v>32</v>
      </c>
      <c r="O29" s="37">
        <v>0</v>
      </c>
      <c r="P29" s="51">
        <v>0</v>
      </c>
      <c r="Q29" s="38">
        <v>0</v>
      </c>
      <c r="R29" s="37">
        <v>0</v>
      </c>
      <c r="S29" s="51">
        <v>0</v>
      </c>
      <c r="T29" s="38">
        <v>0</v>
      </c>
      <c r="U29" s="37">
        <v>0</v>
      </c>
      <c r="V29" s="51">
        <v>0</v>
      </c>
      <c r="W29" s="51">
        <v>0</v>
      </c>
      <c r="X29" s="38">
        <v>0</v>
      </c>
      <c r="Y29" s="37">
        <f>LARGE((Table62[[#This Row],[K1]:[Z4]]),1)</f>
        <v>32</v>
      </c>
      <c r="Z29" s="51">
        <f>LARGE((Table62[[#This Row],[K1]:[Z4]]),2)</f>
        <v>28</v>
      </c>
      <c r="AA29" s="51">
        <f>LARGE((Table62[[#This Row],[K1]:[Z4]]),3)</f>
        <v>28</v>
      </c>
      <c r="AB29" s="51">
        <f>LARGE((Table62[[#This Row],[K1]:[Z4]]),4)</f>
        <v>0</v>
      </c>
      <c r="AC29" s="51">
        <f>LARGE((Table62[[#This Row],[K1]:[Z4]]),5)</f>
        <v>0</v>
      </c>
      <c r="AD29" s="51">
        <f>LARGE((Table62[[#This Row],[K1]:[Z4]]),6)</f>
        <v>0</v>
      </c>
      <c r="AE29" s="51">
        <f>LARGE((Table62[[#This Row],[K1]:[Z4]]),7)</f>
        <v>0</v>
      </c>
      <c r="AF29" s="51">
        <f>LARGE((Table62[[#This Row],[K1]:[Z4]]),8)</f>
        <v>0</v>
      </c>
      <c r="AG29" s="51">
        <f>LARGE((Table62[[#This Row],[K1]:[Z4]]),9)</f>
        <v>0</v>
      </c>
      <c r="AH29" s="38">
        <f>LARGE((Table62[[#This Row],[K1]:[Z4]]),10)</f>
        <v>0</v>
      </c>
      <c r="AI29" s="45">
        <f t="shared" si="0"/>
        <v>88</v>
      </c>
      <c r="AJ29" s="37">
        <f t="shared" si="1"/>
        <v>98</v>
      </c>
      <c r="AK29" s="11"/>
    </row>
    <row r="30" spans="1:37" ht="14.4" customHeight="1" x14ac:dyDescent="0.3">
      <c r="A30" s="59">
        <v>27</v>
      </c>
      <c r="B30" s="51">
        <v>565</v>
      </c>
      <c r="C30" t="str">
        <f>_xlfn.XLOOKUP(B30,Sheet2!B:B,Sheet2!C:C)</f>
        <v>Gury Dos Santos</v>
      </c>
      <c r="D30" s="52" t="str">
        <f>_xlfn.XLOOKUP(B30,Sheet2!B:B,Sheet2!G:G)</f>
        <v>NMSF722</v>
      </c>
      <c r="E30" s="51" t="str">
        <f>_xlfn.XLOOKUP(B30,Sheet2!B:B,Sheet2!H:H)</f>
        <v>NAM</v>
      </c>
      <c r="F30" s="30" t="str">
        <f>_xlfn.XLOOKUP(B30,Sheet2!B:B,Sheet2!D:D)</f>
        <v>CRG</v>
      </c>
      <c r="G30" s="37">
        <v>0</v>
      </c>
      <c r="H30" s="51">
        <v>0</v>
      </c>
      <c r="I30" s="51">
        <v>0</v>
      </c>
      <c r="J30" s="51">
        <v>0</v>
      </c>
      <c r="K30" s="49">
        <f>SUM(Table62[[#This Row],[SARMC 1]:[SARMC 4]])</f>
        <v>0</v>
      </c>
      <c r="L30" s="37">
        <v>13</v>
      </c>
      <c r="M30" s="51">
        <v>16</v>
      </c>
      <c r="N30" s="38">
        <v>14</v>
      </c>
      <c r="O30" s="37">
        <v>14</v>
      </c>
      <c r="P30" s="51">
        <v>18</v>
      </c>
      <c r="Q30" s="38">
        <v>15</v>
      </c>
      <c r="R30" s="37">
        <v>0</v>
      </c>
      <c r="S30" s="51">
        <v>0</v>
      </c>
      <c r="T30" s="38">
        <v>0</v>
      </c>
      <c r="U30" s="37">
        <v>0</v>
      </c>
      <c r="V30" s="51">
        <v>0</v>
      </c>
      <c r="W30" s="51">
        <v>0</v>
      </c>
      <c r="X30" s="38">
        <v>0</v>
      </c>
      <c r="Y30" s="37">
        <f>LARGE((Table62[[#This Row],[K1]:[Z4]]),1)</f>
        <v>18</v>
      </c>
      <c r="Z30" s="51">
        <f>LARGE((Table62[[#This Row],[K1]:[Z4]]),2)</f>
        <v>16</v>
      </c>
      <c r="AA30" s="51">
        <f>LARGE((Table62[[#This Row],[K1]:[Z4]]),3)</f>
        <v>15</v>
      </c>
      <c r="AB30" s="51">
        <f>LARGE((Table62[[#This Row],[K1]:[Z4]]),4)</f>
        <v>14</v>
      </c>
      <c r="AC30" s="51">
        <f>LARGE((Table62[[#This Row],[K1]:[Z4]]),5)</f>
        <v>14</v>
      </c>
      <c r="AD30" s="51">
        <f>LARGE((Table62[[#This Row],[K1]:[Z4]]),6)</f>
        <v>13</v>
      </c>
      <c r="AE30" s="51">
        <f>LARGE((Table62[[#This Row],[K1]:[Z4]]),7)</f>
        <v>0</v>
      </c>
      <c r="AF30" s="51">
        <f>LARGE((Table62[[#This Row],[K1]:[Z4]]),8)</f>
        <v>0</v>
      </c>
      <c r="AG30" s="51">
        <f>LARGE((Table62[[#This Row],[K1]:[Z4]]),9)</f>
        <v>0</v>
      </c>
      <c r="AH30" s="38">
        <f>LARGE((Table62[[#This Row],[K1]:[Z4]]),10)</f>
        <v>0</v>
      </c>
      <c r="AI30" s="45">
        <f t="shared" si="0"/>
        <v>90</v>
      </c>
      <c r="AJ30" s="37">
        <f t="shared" si="1"/>
        <v>90</v>
      </c>
      <c r="AK30" s="11"/>
    </row>
    <row r="31" spans="1:37" ht="14.4" x14ac:dyDescent="0.3">
      <c r="A31" s="59">
        <v>28</v>
      </c>
      <c r="B31" s="51">
        <v>516</v>
      </c>
      <c r="C31" t="str">
        <f>_xlfn.XLOOKUP(B31,Sheet2!B:B,Sheet2!C:C)</f>
        <v>Jayden Van Der Merwe</v>
      </c>
      <c r="D31" s="52">
        <f>_xlfn.XLOOKUP(B31,Sheet2!B:B,Sheet2!G:G)</f>
        <v>33324</v>
      </c>
      <c r="E31" s="51" t="str">
        <f>_xlfn.XLOOKUP(B31,Sheet2!B:B,Sheet2!H:H)</f>
        <v>WP</v>
      </c>
      <c r="F31" s="30" t="str">
        <f>_xlfn.XLOOKUP(B31,Sheet2!B:B,Sheet2!D:D)</f>
        <v>CRG</v>
      </c>
      <c r="G31" s="37">
        <v>3</v>
      </c>
      <c r="H31" s="51">
        <v>3</v>
      </c>
      <c r="I31" s="51">
        <v>3</v>
      </c>
      <c r="J31" s="51">
        <v>0</v>
      </c>
      <c r="K31" s="49">
        <f>SUM(Table62[[#This Row],[SARMC 1]:[SARMC 4]])</f>
        <v>9</v>
      </c>
      <c r="L31" s="37">
        <v>25</v>
      </c>
      <c r="M31" s="51">
        <v>22</v>
      </c>
      <c r="N31" s="38">
        <v>28</v>
      </c>
      <c r="O31" s="37">
        <v>0</v>
      </c>
      <c r="P31" s="51">
        <v>0</v>
      </c>
      <c r="Q31" s="38">
        <v>0</v>
      </c>
      <c r="R31" s="37">
        <v>0</v>
      </c>
      <c r="S31" s="51">
        <v>0</v>
      </c>
      <c r="T31" s="38">
        <v>0</v>
      </c>
      <c r="U31" s="37">
        <v>0</v>
      </c>
      <c r="V31" s="51">
        <v>0</v>
      </c>
      <c r="W31" s="51">
        <v>0</v>
      </c>
      <c r="X31" s="38">
        <v>0</v>
      </c>
      <c r="Y31" s="37">
        <f>LARGE((Table62[[#This Row],[K1]:[Z4]]),1)</f>
        <v>28</v>
      </c>
      <c r="Z31" s="51">
        <f>LARGE((Table62[[#This Row],[K1]:[Z4]]),2)</f>
        <v>25</v>
      </c>
      <c r="AA31" s="51">
        <f>LARGE((Table62[[#This Row],[K1]:[Z4]]),3)</f>
        <v>22</v>
      </c>
      <c r="AB31" s="51">
        <f>LARGE((Table62[[#This Row],[K1]:[Z4]]),4)</f>
        <v>0</v>
      </c>
      <c r="AC31" s="51">
        <f>LARGE((Table62[[#This Row],[K1]:[Z4]]),5)</f>
        <v>0</v>
      </c>
      <c r="AD31" s="51">
        <f>LARGE((Table62[[#This Row],[K1]:[Z4]]),6)</f>
        <v>0</v>
      </c>
      <c r="AE31" s="51">
        <f>LARGE((Table62[[#This Row],[K1]:[Z4]]),7)</f>
        <v>0</v>
      </c>
      <c r="AF31" s="51">
        <f>LARGE((Table62[[#This Row],[K1]:[Z4]]),8)</f>
        <v>0</v>
      </c>
      <c r="AG31" s="51">
        <f>LARGE((Table62[[#This Row],[K1]:[Z4]]),9)</f>
        <v>0</v>
      </c>
      <c r="AH31" s="38">
        <f>LARGE((Table62[[#This Row],[K1]:[Z4]]),10)</f>
        <v>0</v>
      </c>
      <c r="AI31" s="45">
        <f t="shared" si="0"/>
        <v>75</v>
      </c>
      <c r="AJ31" s="37">
        <f t="shared" si="1"/>
        <v>84</v>
      </c>
      <c r="AK31" s="11"/>
    </row>
    <row r="32" spans="1:37" ht="14.4" x14ac:dyDescent="0.3">
      <c r="A32" s="59">
        <v>29</v>
      </c>
      <c r="B32" s="51">
        <v>511</v>
      </c>
      <c r="C32" t="str">
        <f>_xlfn.XLOOKUP(B32,Sheet2!B:B,Sheet2!C:C)</f>
        <v>Milan Fischer</v>
      </c>
      <c r="D32" s="52" t="str">
        <f>_xlfn.XLOOKUP(B32,Sheet2!B:B,Sheet2!G:G)</f>
        <v>NMSF490</v>
      </c>
      <c r="E32" s="51" t="str">
        <f>_xlfn.XLOOKUP(B32,Sheet2!B:B,Sheet2!H:H)</f>
        <v>NAM</v>
      </c>
      <c r="F32" s="30" t="str">
        <f>_xlfn.XLOOKUP(B32,Sheet2!B:B,Sheet2!D:D)</f>
        <v>SODI</v>
      </c>
      <c r="G32" s="37">
        <v>0</v>
      </c>
      <c r="H32" s="51">
        <v>0</v>
      </c>
      <c r="I32" s="51">
        <v>0</v>
      </c>
      <c r="J32" s="51">
        <v>0</v>
      </c>
      <c r="K32" s="49">
        <f>SUM(Table62[[#This Row],[SARMC 1]:[SARMC 4]])</f>
        <v>0</v>
      </c>
      <c r="L32" s="37">
        <v>0</v>
      </c>
      <c r="M32" s="51">
        <v>0</v>
      </c>
      <c r="N32" s="38">
        <v>0</v>
      </c>
      <c r="O32" s="37">
        <v>16</v>
      </c>
      <c r="P32" s="51">
        <v>15</v>
      </c>
      <c r="Q32" s="38">
        <v>19</v>
      </c>
      <c r="R32" s="37">
        <v>12</v>
      </c>
      <c r="S32" s="51">
        <v>11</v>
      </c>
      <c r="T32" s="38">
        <v>9</v>
      </c>
      <c r="U32" s="37">
        <v>0</v>
      </c>
      <c r="V32" s="51">
        <v>0</v>
      </c>
      <c r="W32" s="51">
        <v>0</v>
      </c>
      <c r="X32" s="38">
        <v>0</v>
      </c>
      <c r="Y32" s="37">
        <f>LARGE((Table62[[#This Row],[K1]:[Z4]]),1)</f>
        <v>19</v>
      </c>
      <c r="Z32" s="51">
        <f>LARGE((Table62[[#This Row],[K1]:[Z4]]),2)</f>
        <v>16</v>
      </c>
      <c r="AA32" s="51">
        <f>LARGE((Table62[[#This Row],[K1]:[Z4]]),3)</f>
        <v>15</v>
      </c>
      <c r="AB32" s="51">
        <f>LARGE((Table62[[#This Row],[K1]:[Z4]]),4)</f>
        <v>12</v>
      </c>
      <c r="AC32" s="51">
        <f>LARGE((Table62[[#This Row],[K1]:[Z4]]),5)</f>
        <v>11</v>
      </c>
      <c r="AD32" s="51">
        <f>LARGE((Table62[[#This Row],[K1]:[Z4]]),6)</f>
        <v>9</v>
      </c>
      <c r="AE32" s="51">
        <f>LARGE((Table62[[#This Row],[K1]:[Z4]]),7)</f>
        <v>0</v>
      </c>
      <c r="AF32" s="51">
        <f>LARGE((Table62[[#This Row],[K1]:[Z4]]),8)</f>
        <v>0</v>
      </c>
      <c r="AG32" s="51">
        <f>LARGE((Table62[[#This Row],[K1]:[Z4]]),9)</f>
        <v>0</v>
      </c>
      <c r="AH32" s="38">
        <f>LARGE((Table62[[#This Row],[K1]:[Z4]]),10)</f>
        <v>0</v>
      </c>
      <c r="AI32" s="45">
        <f t="shared" si="0"/>
        <v>82</v>
      </c>
      <c r="AJ32" s="37">
        <f t="shared" si="1"/>
        <v>82</v>
      </c>
      <c r="AK32" s="11"/>
    </row>
    <row r="33" spans="1:37" ht="14.4" x14ac:dyDescent="0.3">
      <c r="A33" s="59">
        <v>30</v>
      </c>
      <c r="B33" s="51">
        <v>570</v>
      </c>
      <c r="C33" t="str">
        <f>_xlfn.XLOOKUP(B33,Sheet2!B:B,Sheet2!C:C)</f>
        <v>Alanzo Dias</v>
      </c>
      <c r="D33" s="52">
        <f>_xlfn.XLOOKUP(B33,Sheet2!B:B,Sheet2!G:G)</f>
        <v>33791</v>
      </c>
      <c r="E33" s="51" t="str">
        <f>_xlfn.XLOOKUP(B33,Sheet2!B:B,Sheet2!H:H)</f>
        <v>WP</v>
      </c>
      <c r="F33" s="30" t="str">
        <f>_xlfn.XLOOKUP(B33,Sheet2!B:B,Sheet2!D:D)</f>
        <v>CRG</v>
      </c>
      <c r="G33" s="37">
        <v>0</v>
      </c>
      <c r="H33" s="51">
        <v>0</v>
      </c>
      <c r="I33" s="51">
        <v>0</v>
      </c>
      <c r="J33" s="51">
        <v>0</v>
      </c>
      <c r="K33" s="49">
        <f>SUM(Table62[[#This Row],[SARMC 1]:[SARMC 4]])</f>
        <v>0</v>
      </c>
      <c r="L33" s="37">
        <v>19</v>
      </c>
      <c r="M33" s="51">
        <v>17</v>
      </c>
      <c r="N33" s="38">
        <v>17</v>
      </c>
      <c r="O33" s="37">
        <v>0</v>
      </c>
      <c r="P33" s="51">
        <v>0</v>
      </c>
      <c r="Q33" s="38">
        <v>0</v>
      </c>
      <c r="R33" s="37">
        <v>0</v>
      </c>
      <c r="S33" s="51">
        <v>0</v>
      </c>
      <c r="T33" s="38">
        <v>0</v>
      </c>
      <c r="U33" s="37">
        <v>0</v>
      </c>
      <c r="V33" s="51">
        <v>0</v>
      </c>
      <c r="W33" s="51">
        <v>0</v>
      </c>
      <c r="X33" s="38">
        <v>0</v>
      </c>
      <c r="Y33" s="37">
        <f>LARGE((Table62[[#This Row],[K1]:[Z4]]),1)</f>
        <v>19</v>
      </c>
      <c r="Z33" s="51">
        <f>LARGE((Table62[[#This Row],[K1]:[Z4]]),2)</f>
        <v>17</v>
      </c>
      <c r="AA33" s="51">
        <f>LARGE((Table62[[#This Row],[K1]:[Z4]]),3)</f>
        <v>17</v>
      </c>
      <c r="AB33" s="51">
        <f>LARGE((Table62[[#This Row],[K1]:[Z4]]),4)</f>
        <v>0</v>
      </c>
      <c r="AC33" s="51">
        <f>LARGE((Table62[[#This Row],[K1]:[Z4]]),5)</f>
        <v>0</v>
      </c>
      <c r="AD33" s="51">
        <f>LARGE((Table62[[#This Row],[K1]:[Z4]]),6)</f>
        <v>0</v>
      </c>
      <c r="AE33" s="51">
        <f>LARGE((Table62[[#This Row],[K1]:[Z4]]),7)</f>
        <v>0</v>
      </c>
      <c r="AF33" s="51">
        <f>LARGE((Table62[[#This Row],[K1]:[Z4]]),8)</f>
        <v>0</v>
      </c>
      <c r="AG33" s="51">
        <f>LARGE((Table62[[#This Row],[K1]:[Z4]]),9)</f>
        <v>0</v>
      </c>
      <c r="AH33" s="38">
        <f>LARGE((Table62[[#This Row],[K1]:[Z4]]),10)</f>
        <v>0</v>
      </c>
      <c r="AI33" s="45">
        <f t="shared" si="0"/>
        <v>53</v>
      </c>
      <c r="AJ33" s="37">
        <f t="shared" si="1"/>
        <v>53</v>
      </c>
      <c r="AK33" s="11"/>
    </row>
    <row r="34" spans="1:37" ht="14.4" x14ac:dyDescent="0.3">
      <c r="A34" s="59">
        <v>31</v>
      </c>
      <c r="B34" s="51">
        <v>515</v>
      </c>
      <c r="C34" t="str">
        <f>_xlfn.XLOOKUP(B34,Sheet2!B:B,Sheet2!C:C)</f>
        <v>Bono Raphunga</v>
      </c>
      <c r="D34" s="52">
        <f>_xlfn.XLOOKUP(B34,Sheet2!B:B,Sheet2!G:G)</f>
        <v>42794</v>
      </c>
      <c r="E34" s="51" t="str">
        <f>_xlfn.XLOOKUP(B34,Sheet2!B:B,Sheet2!H:H)</f>
        <v>NR</v>
      </c>
      <c r="F34" s="30" t="str">
        <f>_xlfn.XLOOKUP(B34,Sheet2!B:B,Sheet2!D:D)</f>
        <v>CRG</v>
      </c>
      <c r="G34" s="37">
        <v>3</v>
      </c>
      <c r="H34" s="51">
        <v>3</v>
      </c>
      <c r="I34" s="51">
        <v>0</v>
      </c>
      <c r="J34" s="51">
        <v>0</v>
      </c>
      <c r="K34" s="49">
        <f>SUM(Table62[[#This Row],[SARMC 1]:[SARMC 4]])</f>
        <v>6</v>
      </c>
      <c r="L34" s="37">
        <v>11</v>
      </c>
      <c r="M34" s="51">
        <v>11</v>
      </c>
      <c r="N34" s="38">
        <v>11</v>
      </c>
      <c r="O34" s="37">
        <v>0</v>
      </c>
      <c r="P34" s="51">
        <v>0</v>
      </c>
      <c r="Q34" s="38">
        <v>0</v>
      </c>
      <c r="R34" s="37">
        <v>0</v>
      </c>
      <c r="S34" s="51">
        <v>0</v>
      </c>
      <c r="T34" s="38">
        <v>0</v>
      </c>
      <c r="U34" s="37">
        <v>0</v>
      </c>
      <c r="V34" s="51">
        <v>0</v>
      </c>
      <c r="W34" s="51">
        <v>0</v>
      </c>
      <c r="X34" s="38">
        <v>0</v>
      </c>
      <c r="Y34" s="37">
        <f>LARGE((Table62[[#This Row],[K1]:[Z4]]),1)</f>
        <v>11</v>
      </c>
      <c r="Z34" s="51">
        <f>LARGE((Table62[[#This Row],[K1]:[Z4]]),2)</f>
        <v>11</v>
      </c>
      <c r="AA34" s="51">
        <f>LARGE((Table62[[#This Row],[K1]:[Z4]]),3)</f>
        <v>11</v>
      </c>
      <c r="AB34" s="51">
        <f>LARGE((Table62[[#This Row],[K1]:[Z4]]),4)</f>
        <v>0</v>
      </c>
      <c r="AC34" s="51">
        <f>LARGE((Table62[[#This Row],[K1]:[Z4]]),5)</f>
        <v>0</v>
      </c>
      <c r="AD34" s="51">
        <f>LARGE((Table62[[#This Row],[K1]:[Z4]]),6)</f>
        <v>0</v>
      </c>
      <c r="AE34" s="51">
        <f>LARGE((Table62[[#This Row],[K1]:[Z4]]),7)</f>
        <v>0</v>
      </c>
      <c r="AF34" s="51">
        <f>LARGE((Table62[[#This Row],[K1]:[Z4]]),8)</f>
        <v>0</v>
      </c>
      <c r="AG34" s="51">
        <f>LARGE((Table62[[#This Row],[K1]:[Z4]]),9)</f>
        <v>0</v>
      </c>
      <c r="AH34" s="38">
        <f>LARGE((Table62[[#This Row],[K1]:[Z4]]),10)</f>
        <v>0</v>
      </c>
      <c r="AI34" s="45">
        <f t="shared" si="0"/>
        <v>33</v>
      </c>
      <c r="AJ34" s="37">
        <f t="shared" si="1"/>
        <v>39</v>
      </c>
      <c r="AK34" s="11"/>
    </row>
    <row r="35" spans="1:37" ht="14.4" x14ac:dyDescent="0.3">
      <c r="A35" s="59">
        <v>32</v>
      </c>
      <c r="B35" s="51">
        <v>534</v>
      </c>
      <c r="C35" t="str">
        <f>_xlfn.XLOOKUP(B35,Sheet2!B:B,Sheet2!C:C)</f>
        <v>Daniel Resende</v>
      </c>
      <c r="D35" s="52" t="str">
        <f>_xlfn.XLOOKUP(B35,Sheet2!B:B,Sheet2!G:G)</f>
        <v>D03624MZ</v>
      </c>
      <c r="E35" s="51" t="str">
        <f>_xlfn.XLOOKUP(B35,Sheet2!B:B,Sheet2!H:H)</f>
        <v>MOZ</v>
      </c>
      <c r="F35" s="30" t="str">
        <f>_xlfn.XLOOKUP(B35,Sheet2!B:B,Sheet2!D:D)</f>
        <v>KOSMIC</v>
      </c>
      <c r="G35" s="37">
        <v>2</v>
      </c>
      <c r="H35" s="51">
        <v>0</v>
      </c>
      <c r="I35" s="51">
        <v>0</v>
      </c>
      <c r="J35" s="51">
        <v>0</v>
      </c>
      <c r="K35" s="49">
        <f>SUM(Table62[[#This Row],[SARMC 1]:[SARMC 4]])</f>
        <v>2</v>
      </c>
      <c r="L35" s="37">
        <v>0</v>
      </c>
      <c r="M35" s="51">
        <v>0</v>
      </c>
      <c r="N35" s="38">
        <v>0</v>
      </c>
      <c r="O35" s="37">
        <v>0</v>
      </c>
      <c r="P35" s="51">
        <v>0</v>
      </c>
      <c r="Q35" s="38">
        <v>0</v>
      </c>
      <c r="R35" s="37">
        <v>9</v>
      </c>
      <c r="S35" s="51">
        <v>10</v>
      </c>
      <c r="T35" s="38">
        <v>10</v>
      </c>
      <c r="U35" s="37">
        <v>0</v>
      </c>
      <c r="V35" s="51">
        <v>0</v>
      </c>
      <c r="W35" s="51">
        <v>0</v>
      </c>
      <c r="X35" s="38">
        <v>0</v>
      </c>
      <c r="Y35" s="37">
        <f>LARGE((Table62[[#This Row],[K1]:[Z4]]),1)</f>
        <v>10</v>
      </c>
      <c r="Z35" s="51">
        <f>LARGE((Table62[[#This Row],[K1]:[Z4]]),2)</f>
        <v>10</v>
      </c>
      <c r="AA35" s="51">
        <f>LARGE((Table62[[#This Row],[K1]:[Z4]]),3)</f>
        <v>9</v>
      </c>
      <c r="AB35" s="51">
        <f>LARGE((Table62[[#This Row],[K1]:[Z4]]),4)</f>
        <v>0</v>
      </c>
      <c r="AC35" s="51">
        <f>LARGE((Table62[[#This Row],[K1]:[Z4]]),5)</f>
        <v>0</v>
      </c>
      <c r="AD35" s="51">
        <f>LARGE((Table62[[#This Row],[K1]:[Z4]]),6)</f>
        <v>0</v>
      </c>
      <c r="AE35" s="51">
        <f>LARGE((Table62[[#This Row],[K1]:[Z4]]),7)</f>
        <v>0</v>
      </c>
      <c r="AF35" s="51">
        <f>LARGE((Table62[[#This Row],[K1]:[Z4]]),8)</f>
        <v>0</v>
      </c>
      <c r="AG35" s="51">
        <f>LARGE((Table62[[#This Row],[K1]:[Z4]]),9)</f>
        <v>0</v>
      </c>
      <c r="AH35" s="38">
        <f>LARGE((Table62[[#This Row],[K1]:[Z4]]),10)</f>
        <v>0</v>
      </c>
      <c r="AI35" s="45">
        <f t="shared" si="0"/>
        <v>29</v>
      </c>
      <c r="AJ35" s="37">
        <f t="shared" si="1"/>
        <v>31</v>
      </c>
      <c r="AK35" s="11"/>
    </row>
    <row r="36" spans="1:37" ht="14.4" x14ac:dyDescent="0.3">
      <c r="A36" s="59">
        <v>33</v>
      </c>
      <c r="B36" s="51">
        <v>580</v>
      </c>
      <c r="C36" t="s">
        <v>473</v>
      </c>
      <c r="D36" s="52" t="s">
        <v>474</v>
      </c>
      <c r="E36" s="51" t="s">
        <v>415</v>
      </c>
      <c r="F36" s="30" t="s">
        <v>53</v>
      </c>
      <c r="G36" s="37">
        <v>0</v>
      </c>
      <c r="H36" s="51">
        <v>0</v>
      </c>
      <c r="I36" s="51">
        <v>0</v>
      </c>
      <c r="J36" s="51">
        <v>0</v>
      </c>
      <c r="K36" s="49">
        <f>SUM(Table62[[#This Row],[SARMC 1]:[SARMC 4]])</f>
        <v>0</v>
      </c>
      <c r="L36" s="37">
        <v>0</v>
      </c>
      <c r="M36" s="51">
        <v>0</v>
      </c>
      <c r="N36" s="38">
        <v>0</v>
      </c>
      <c r="O36" s="37">
        <v>0</v>
      </c>
      <c r="P36" s="51">
        <v>0</v>
      </c>
      <c r="Q36" s="38">
        <v>0</v>
      </c>
      <c r="R36" s="37">
        <v>7</v>
      </c>
      <c r="S36" s="51">
        <v>9</v>
      </c>
      <c r="T36" s="38">
        <v>8</v>
      </c>
      <c r="U36" s="37">
        <v>0</v>
      </c>
      <c r="V36" s="51">
        <v>0</v>
      </c>
      <c r="W36" s="51">
        <v>0</v>
      </c>
      <c r="X36" s="38">
        <v>0</v>
      </c>
      <c r="Y36" s="37">
        <f>LARGE((Table62[[#This Row],[K1]:[Z4]]),1)</f>
        <v>9</v>
      </c>
      <c r="Z36" s="51">
        <f>LARGE((Table62[[#This Row],[K1]:[Z4]]),2)</f>
        <v>8</v>
      </c>
      <c r="AA36" s="51">
        <f>LARGE((Table62[[#This Row],[K1]:[Z4]]),3)</f>
        <v>7</v>
      </c>
      <c r="AB36" s="51">
        <f>LARGE((Table62[[#This Row],[K1]:[Z4]]),4)</f>
        <v>0</v>
      </c>
      <c r="AC36" s="51">
        <f>LARGE((Table62[[#This Row],[K1]:[Z4]]),5)</f>
        <v>0</v>
      </c>
      <c r="AD36" s="51">
        <f>LARGE((Table62[[#This Row],[K1]:[Z4]]),6)</f>
        <v>0</v>
      </c>
      <c r="AE36" s="51">
        <f>LARGE((Table62[[#This Row],[K1]:[Z4]]),7)</f>
        <v>0</v>
      </c>
      <c r="AF36" s="51">
        <f>LARGE((Table62[[#This Row],[K1]:[Z4]]),8)</f>
        <v>0</v>
      </c>
      <c r="AG36" s="51">
        <f>LARGE((Table62[[#This Row],[K1]:[Z4]]),9)</f>
        <v>0</v>
      </c>
      <c r="AH36" s="38">
        <f>LARGE((Table62[[#This Row],[K1]:[Z4]]),10)</f>
        <v>0</v>
      </c>
      <c r="AI36" s="45">
        <f t="shared" si="0"/>
        <v>24</v>
      </c>
      <c r="AJ36" s="37">
        <f t="shared" si="1"/>
        <v>24</v>
      </c>
      <c r="AK36" s="11"/>
    </row>
    <row r="37" spans="1:37" ht="14.4" x14ac:dyDescent="0.3">
      <c r="A37" s="59">
        <v>34</v>
      </c>
      <c r="B37" s="51">
        <v>549</v>
      </c>
      <c r="C37" t="s">
        <v>475</v>
      </c>
      <c r="D37" s="52" t="s">
        <v>476</v>
      </c>
      <c r="E37" s="51" t="s">
        <v>477</v>
      </c>
      <c r="F37" s="30" t="s">
        <v>331</v>
      </c>
      <c r="G37" s="37">
        <v>0</v>
      </c>
      <c r="H37" s="51">
        <v>0</v>
      </c>
      <c r="I37" s="51">
        <v>0</v>
      </c>
      <c r="J37" s="51">
        <v>0</v>
      </c>
      <c r="K37" s="49">
        <f>SUM(Table62[[#This Row],[SARMC 1]:[SARMC 4]])</f>
        <v>0</v>
      </c>
      <c r="L37" s="37">
        <v>0</v>
      </c>
      <c r="M37" s="51">
        <v>0</v>
      </c>
      <c r="N37" s="38">
        <v>0</v>
      </c>
      <c r="O37" s="37">
        <v>0</v>
      </c>
      <c r="P37" s="51">
        <v>0</v>
      </c>
      <c r="Q37" s="38">
        <v>0</v>
      </c>
      <c r="R37" s="37">
        <v>8</v>
      </c>
      <c r="S37" s="51">
        <v>8</v>
      </c>
      <c r="T37" s="38">
        <v>7</v>
      </c>
      <c r="U37" s="37">
        <v>0</v>
      </c>
      <c r="V37" s="51">
        <v>0</v>
      </c>
      <c r="W37" s="51">
        <v>0</v>
      </c>
      <c r="X37" s="38">
        <v>0</v>
      </c>
      <c r="Y37" s="37">
        <f>LARGE((Table62[[#This Row],[K1]:[Z4]]),1)</f>
        <v>8</v>
      </c>
      <c r="Z37" s="51">
        <f>LARGE((Table62[[#This Row],[K1]:[Z4]]),2)</f>
        <v>8</v>
      </c>
      <c r="AA37" s="51">
        <f>LARGE((Table62[[#This Row],[K1]:[Z4]]),3)</f>
        <v>7</v>
      </c>
      <c r="AB37" s="51">
        <f>LARGE((Table62[[#This Row],[K1]:[Z4]]),4)</f>
        <v>0</v>
      </c>
      <c r="AC37" s="51">
        <f>LARGE((Table62[[#This Row],[K1]:[Z4]]),5)</f>
        <v>0</v>
      </c>
      <c r="AD37" s="51">
        <f>LARGE((Table62[[#This Row],[K1]:[Z4]]),6)</f>
        <v>0</v>
      </c>
      <c r="AE37" s="51">
        <f>LARGE((Table62[[#This Row],[K1]:[Z4]]),7)</f>
        <v>0</v>
      </c>
      <c r="AF37" s="51">
        <f>LARGE((Table62[[#This Row],[K1]:[Z4]]),8)</f>
        <v>0</v>
      </c>
      <c r="AG37" s="51">
        <f>LARGE((Table62[[#This Row],[K1]:[Z4]]),9)</f>
        <v>0</v>
      </c>
      <c r="AH37" s="38">
        <f>LARGE((Table62[[#This Row],[K1]:[Z4]]),10)</f>
        <v>0</v>
      </c>
      <c r="AI37" s="45">
        <f t="shared" si="0"/>
        <v>23</v>
      </c>
      <c r="AJ37" s="37">
        <f t="shared" si="1"/>
        <v>23</v>
      </c>
      <c r="AK37" s="11"/>
    </row>
    <row r="38" spans="1:37" ht="14.4" x14ac:dyDescent="0.3">
      <c r="A38" s="59">
        <v>35</v>
      </c>
      <c r="B38" s="51">
        <v>566</v>
      </c>
      <c r="C38" t="str">
        <f>_xlfn.XLOOKUP(B38,Sheet2!B:B,Sheet2!C:C)</f>
        <v>Jake Steyn</v>
      </c>
      <c r="D38" s="52">
        <f>_xlfn.XLOOKUP(B38,Sheet2!B:B,Sheet2!G:G)</f>
        <v>36795</v>
      </c>
      <c r="E38" s="51" t="str">
        <f>_xlfn.XLOOKUP(B38,Sheet2!B:B,Sheet2!H:H)</f>
        <v>WP</v>
      </c>
      <c r="F38" s="30" t="str">
        <f>_xlfn.XLOOKUP(B38,Sheet2!B:B,Sheet2!D:D)</f>
        <v>CRG</v>
      </c>
      <c r="G38" s="37">
        <v>3</v>
      </c>
      <c r="H38" s="51">
        <v>3</v>
      </c>
      <c r="I38" s="51">
        <v>3</v>
      </c>
      <c r="J38" s="51">
        <v>3</v>
      </c>
      <c r="K38" s="49">
        <f>SUM(Table62[[#This Row],[SARMC 1]:[SARMC 4]])</f>
        <v>12</v>
      </c>
      <c r="L38" s="37">
        <v>0</v>
      </c>
      <c r="M38" s="51">
        <v>0</v>
      </c>
      <c r="N38" s="38">
        <v>0</v>
      </c>
      <c r="O38" s="37">
        <v>0</v>
      </c>
      <c r="P38" s="51">
        <v>0</v>
      </c>
      <c r="Q38" s="38">
        <v>0</v>
      </c>
      <c r="R38" s="37">
        <v>0</v>
      </c>
      <c r="S38" s="51">
        <v>0</v>
      </c>
      <c r="T38" s="38">
        <v>0</v>
      </c>
      <c r="U38" s="37">
        <v>0</v>
      </c>
      <c r="V38" s="51">
        <v>0</v>
      </c>
      <c r="W38" s="51">
        <v>0</v>
      </c>
      <c r="X38" s="38">
        <v>0</v>
      </c>
      <c r="Y38" s="37">
        <f>LARGE((Table62[[#This Row],[K1]:[Z4]]),1)</f>
        <v>0</v>
      </c>
      <c r="Z38" s="51">
        <f>LARGE((Table62[[#This Row],[K1]:[Z4]]),2)</f>
        <v>0</v>
      </c>
      <c r="AA38" s="51">
        <f>LARGE((Table62[[#This Row],[K1]:[Z4]]),3)</f>
        <v>0</v>
      </c>
      <c r="AB38" s="51">
        <f>LARGE((Table62[[#This Row],[K1]:[Z4]]),4)</f>
        <v>0</v>
      </c>
      <c r="AC38" s="51">
        <f>LARGE((Table62[[#This Row],[K1]:[Z4]]),5)</f>
        <v>0</v>
      </c>
      <c r="AD38" s="51">
        <f>LARGE((Table62[[#This Row],[K1]:[Z4]]),6)</f>
        <v>0</v>
      </c>
      <c r="AE38" s="51">
        <f>LARGE((Table62[[#This Row],[K1]:[Z4]]),7)</f>
        <v>0</v>
      </c>
      <c r="AF38" s="51">
        <f>LARGE((Table62[[#This Row],[K1]:[Z4]]),8)</f>
        <v>0</v>
      </c>
      <c r="AG38" s="51">
        <f>LARGE((Table62[[#This Row],[K1]:[Z4]]),9)</f>
        <v>0</v>
      </c>
      <c r="AH38" s="38">
        <f>LARGE((Table62[[#This Row],[K1]:[Z4]]),10)</f>
        <v>0</v>
      </c>
      <c r="AI38" s="45">
        <f t="shared" si="0"/>
        <v>0</v>
      </c>
      <c r="AJ38" s="37">
        <f t="shared" si="1"/>
        <v>12</v>
      </c>
      <c r="AK38" s="11"/>
    </row>
    <row r="39" spans="1:37" ht="14.4" x14ac:dyDescent="0.3">
      <c r="A39" s="59">
        <v>36</v>
      </c>
      <c r="B39" s="51">
        <v>530</v>
      </c>
      <c r="C39" t="str">
        <f>_xlfn.XLOOKUP(B39,Sheet2!B:B,Sheet2!C:C)</f>
        <v>Aven Bennett</v>
      </c>
      <c r="D39" s="52">
        <f>_xlfn.XLOOKUP(B39,Sheet2!B:B,Sheet2!G:G)</f>
        <v>44299</v>
      </c>
      <c r="E39" s="51" t="str">
        <f>_xlfn.XLOOKUP(B39,Sheet2!B:B,Sheet2!H:H)</f>
        <v>KZN</v>
      </c>
      <c r="F39" s="30" t="str">
        <f>_xlfn.XLOOKUP(B39,Sheet2!B:B,Sheet2!D:D)</f>
        <v>SODI</v>
      </c>
      <c r="G39" s="37">
        <v>3</v>
      </c>
      <c r="H39" s="51">
        <v>3</v>
      </c>
      <c r="I39" s="51">
        <v>3</v>
      </c>
      <c r="J39" s="51">
        <v>3</v>
      </c>
      <c r="K39" s="49">
        <f>SUM(Table62[[#This Row],[SARMC 1]:[SARMC 4]])</f>
        <v>12</v>
      </c>
      <c r="L39" s="37">
        <v>0</v>
      </c>
      <c r="M39" s="51">
        <v>0</v>
      </c>
      <c r="N39" s="38">
        <v>0</v>
      </c>
      <c r="O39" s="37">
        <v>0</v>
      </c>
      <c r="P39" s="51">
        <v>0</v>
      </c>
      <c r="Q39" s="38">
        <v>0</v>
      </c>
      <c r="R39" s="37">
        <v>0</v>
      </c>
      <c r="S39" s="51">
        <v>0</v>
      </c>
      <c r="T39" s="38">
        <v>0</v>
      </c>
      <c r="U39" s="37">
        <v>0</v>
      </c>
      <c r="V39" s="51">
        <v>0</v>
      </c>
      <c r="W39" s="51">
        <v>0</v>
      </c>
      <c r="X39" s="38">
        <v>0</v>
      </c>
      <c r="Y39" s="37">
        <f>LARGE((Table62[[#This Row],[K1]:[Z4]]),1)</f>
        <v>0</v>
      </c>
      <c r="Z39" s="51">
        <f>LARGE((Table62[[#This Row],[K1]:[Z4]]),2)</f>
        <v>0</v>
      </c>
      <c r="AA39" s="51">
        <f>LARGE((Table62[[#This Row],[K1]:[Z4]]),3)</f>
        <v>0</v>
      </c>
      <c r="AB39" s="51">
        <f>LARGE((Table62[[#This Row],[K1]:[Z4]]),4)</f>
        <v>0</v>
      </c>
      <c r="AC39" s="51">
        <f>LARGE((Table62[[#This Row],[K1]:[Z4]]),5)</f>
        <v>0</v>
      </c>
      <c r="AD39" s="51">
        <f>LARGE((Table62[[#This Row],[K1]:[Z4]]),6)</f>
        <v>0</v>
      </c>
      <c r="AE39" s="51">
        <f>LARGE((Table62[[#This Row],[K1]:[Z4]]),7)</f>
        <v>0</v>
      </c>
      <c r="AF39" s="51">
        <f>LARGE((Table62[[#This Row],[K1]:[Z4]]),8)</f>
        <v>0</v>
      </c>
      <c r="AG39" s="51">
        <f>LARGE((Table62[[#This Row],[K1]:[Z4]]),9)</f>
        <v>0</v>
      </c>
      <c r="AH39" s="38">
        <f>LARGE((Table62[[#This Row],[K1]:[Z4]]),10)</f>
        <v>0</v>
      </c>
      <c r="AI39" s="45">
        <f t="shared" si="0"/>
        <v>0</v>
      </c>
      <c r="AJ39" s="37">
        <f t="shared" si="1"/>
        <v>12</v>
      </c>
      <c r="AK39" s="11"/>
    </row>
    <row r="40" spans="1:37" ht="14.4" x14ac:dyDescent="0.3">
      <c r="A40" s="59">
        <v>37</v>
      </c>
      <c r="B40" s="51">
        <v>552</v>
      </c>
      <c r="C40" t="str">
        <f>_xlfn.XLOOKUP(B40,Sheet2!B:B,Sheet2!C:C)</f>
        <v>Mayank Naidu</v>
      </c>
      <c r="D40" s="52">
        <f>_xlfn.XLOOKUP(B40,Sheet2!B:B,Sheet2!G:G)</f>
        <v>45857</v>
      </c>
      <c r="E40" s="51" t="str">
        <f>_xlfn.XLOOKUP(B40,Sheet2!B:B,Sheet2!H:H)</f>
        <v>KZN</v>
      </c>
      <c r="F40" s="30" t="str">
        <f>_xlfn.XLOOKUP(B40,Sheet2!B:B,Sheet2!D:D)</f>
        <v>BIRELART</v>
      </c>
      <c r="G40" s="37">
        <v>3</v>
      </c>
      <c r="H40" s="51">
        <v>3</v>
      </c>
      <c r="I40" s="51">
        <v>3</v>
      </c>
      <c r="J40" s="51">
        <v>3</v>
      </c>
      <c r="K40" s="49">
        <f>SUM(Table62[[#This Row],[SARMC 1]:[SARMC 4]])</f>
        <v>12</v>
      </c>
      <c r="L40" s="37">
        <v>0</v>
      </c>
      <c r="M40" s="51">
        <v>0</v>
      </c>
      <c r="N40" s="38">
        <v>0</v>
      </c>
      <c r="O40" s="37">
        <v>0</v>
      </c>
      <c r="P40" s="51">
        <v>0</v>
      </c>
      <c r="Q40" s="38">
        <v>0</v>
      </c>
      <c r="R40" s="37">
        <v>0</v>
      </c>
      <c r="S40" s="51">
        <v>0</v>
      </c>
      <c r="T40" s="38">
        <v>0</v>
      </c>
      <c r="U40" s="37">
        <v>0</v>
      </c>
      <c r="V40" s="51">
        <v>0</v>
      </c>
      <c r="W40" s="51">
        <v>0</v>
      </c>
      <c r="X40" s="38">
        <v>0</v>
      </c>
      <c r="Y40" s="37">
        <f>LARGE((Table62[[#This Row],[K1]:[Z4]]),1)</f>
        <v>0</v>
      </c>
      <c r="Z40" s="51">
        <f>LARGE((Table62[[#This Row],[K1]:[Z4]]),2)</f>
        <v>0</v>
      </c>
      <c r="AA40" s="51">
        <f>LARGE((Table62[[#This Row],[K1]:[Z4]]),3)</f>
        <v>0</v>
      </c>
      <c r="AB40" s="51">
        <f>LARGE((Table62[[#This Row],[K1]:[Z4]]),4)</f>
        <v>0</v>
      </c>
      <c r="AC40" s="51">
        <f>LARGE((Table62[[#This Row],[K1]:[Z4]]),5)</f>
        <v>0</v>
      </c>
      <c r="AD40" s="51">
        <f>LARGE((Table62[[#This Row],[K1]:[Z4]]),6)</f>
        <v>0</v>
      </c>
      <c r="AE40" s="51">
        <f>LARGE((Table62[[#This Row],[K1]:[Z4]]),7)</f>
        <v>0</v>
      </c>
      <c r="AF40" s="51">
        <f>LARGE((Table62[[#This Row],[K1]:[Z4]]),8)</f>
        <v>0</v>
      </c>
      <c r="AG40" s="51">
        <f>LARGE((Table62[[#This Row],[K1]:[Z4]]),9)</f>
        <v>0</v>
      </c>
      <c r="AH40" s="38">
        <f>LARGE((Table62[[#This Row],[K1]:[Z4]]),10)</f>
        <v>0</v>
      </c>
      <c r="AI40" s="45">
        <f t="shared" si="0"/>
        <v>0</v>
      </c>
      <c r="AJ40" s="37">
        <f t="shared" si="1"/>
        <v>12</v>
      </c>
      <c r="AK40" s="11"/>
    </row>
    <row r="41" spans="1:37" ht="14.4" x14ac:dyDescent="0.3">
      <c r="A41" s="59">
        <v>38</v>
      </c>
      <c r="B41" s="51">
        <v>577</v>
      </c>
      <c r="C41" t="str">
        <f>_xlfn.XLOOKUP(B41,Sheet2!B:B,Sheet2!C:C)</f>
        <v>Gabriel Jubber</v>
      </c>
      <c r="D41" s="52">
        <f>_xlfn.XLOOKUP(B41,Sheet2!B:B,Sheet2!G:G)</f>
        <v>46318</v>
      </c>
      <c r="E41" s="51" t="str">
        <f>_xlfn.XLOOKUP(B41,Sheet2!B:B,Sheet2!H:H)</f>
        <v>KZN</v>
      </c>
      <c r="F41" s="30" t="str">
        <f>_xlfn.XLOOKUP(B41,Sheet2!B:B,Sheet2!D:D)</f>
        <v>TONY</v>
      </c>
      <c r="G41" s="37">
        <v>3</v>
      </c>
      <c r="H41" s="51">
        <v>3</v>
      </c>
      <c r="I41" s="51">
        <v>3</v>
      </c>
      <c r="J41" s="51">
        <v>3</v>
      </c>
      <c r="K41" s="49">
        <f>SUM(Table62[[#This Row],[SARMC 1]:[SARMC 4]])</f>
        <v>12</v>
      </c>
      <c r="L41" s="37">
        <v>0</v>
      </c>
      <c r="M41" s="51">
        <v>0</v>
      </c>
      <c r="N41" s="38">
        <v>0</v>
      </c>
      <c r="O41" s="37">
        <v>0</v>
      </c>
      <c r="P41" s="51">
        <v>0</v>
      </c>
      <c r="Q41" s="38">
        <v>0</v>
      </c>
      <c r="R41" s="37">
        <v>0</v>
      </c>
      <c r="S41" s="51">
        <v>0</v>
      </c>
      <c r="T41" s="38">
        <v>0</v>
      </c>
      <c r="U41" s="37">
        <v>0</v>
      </c>
      <c r="V41" s="51">
        <v>0</v>
      </c>
      <c r="W41" s="51">
        <v>0</v>
      </c>
      <c r="X41" s="38">
        <v>0</v>
      </c>
      <c r="Y41" s="37">
        <f>LARGE((Table62[[#This Row],[K1]:[Z4]]),1)</f>
        <v>0</v>
      </c>
      <c r="Z41" s="51">
        <f>LARGE((Table62[[#This Row],[K1]:[Z4]]),2)</f>
        <v>0</v>
      </c>
      <c r="AA41" s="51">
        <f>LARGE((Table62[[#This Row],[K1]:[Z4]]),3)</f>
        <v>0</v>
      </c>
      <c r="AB41" s="51">
        <f>LARGE((Table62[[#This Row],[K1]:[Z4]]),4)</f>
        <v>0</v>
      </c>
      <c r="AC41" s="51">
        <f>LARGE((Table62[[#This Row],[K1]:[Z4]]),5)</f>
        <v>0</v>
      </c>
      <c r="AD41" s="51">
        <f>LARGE((Table62[[#This Row],[K1]:[Z4]]),6)</f>
        <v>0</v>
      </c>
      <c r="AE41" s="51">
        <f>LARGE((Table62[[#This Row],[K1]:[Z4]]),7)</f>
        <v>0</v>
      </c>
      <c r="AF41" s="51">
        <f>LARGE((Table62[[#This Row],[K1]:[Z4]]),8)</f>
        <v>0</v>
      </c>
      <c r="AG41" s="51">
        <f>LARGE((Table62[[#This Row],[K1]:[Z4]]),9)</f>
        <v>0</v>
      </c>
      <c r="AH41" s="38">
        <f>LARGE((Table62[[#This Row],[K1]:[Z4]]),10)</f>
        <v>0</v>
      </c>
      <c r="AI41" s="45">
        <f t="shared" si="0"/>
        <v>0</v>
      </c>
      <c r="AJ41" s="37">
        <f t="shared" si="1"/>
        <v>12</v>
      </c>
      <c r="AK41" s="11"/>
    </row>
    <row r="42" spans="1:37" ht="14.4" x14ac:dyDescent="0.3">
      <c r="A42" s="59">
        <v>39</v>
      </c>
      <c r="B42" s="51">
        <v>595</v>
      </c>
      <c r="C42" t="str">
        <f>_xlfn.XLOOKUP(B42,Sheet2!B:B,Sheet2!C:C)</f>
        <v>Connor Falconer</v>
      </c>
      <c r="D42" s="52">
        <f>_xlfn.XLOOKUP(B42,Sheet2!B:B,Sheet2!G:G)</f>
        <v>39943</v>
      </c>
      <c r="E42" s="51" t="str">
        <f>_xlfn.XLOOKUP(B42,Sheet2!B:B,Sheet2!H:H)</f>
        <v>KZN</v>
      </c>
      <c r="F42" s="30" t="str">
        <f>_xlfn.XLOOKUP(B42,Sheet2!B:B,Sheet2!D:D)</f>
        <v>SODI</v>
      </c>
      <c r="G42" s="37">
        <v>3</v>
      </c>
      <c r="H42" s="51">
        <v>3</v>
      </c>
      <c r="I42" s="51">
        <v>3</v>
      </c>
      <c r="J42" s="51">
        <v>3</v>
      </c>
      <c r="K42" s="49">
        <f>SUM(Table62[[#This Row],[SARMC 1]:[SARMC 4]])</f>
        <v>12</v>
      </c>
      <c r="L42" s="37">
        <v>0</v>
      </c>
      <c r="M42" s="51">
        <v>0</v>
      </c>
      <c r="N42" s="38">
        <v>0</v>
      </c>
      <c r="O42" s="37">
        <v>0</v>
      </c>
      <c r="P42" s="51">
        <v>0</v>
      </c>
      <c r="Q42" s="38">
        <v>0</v>
      </c>
      <c r="R42" s="37">
        <v>0</v>
      </c>
      <c r="S42" s="51">
        <v>0</v>
      </c>
      <c r="T42" s="38">
        <v>0</v>
      </c>
      <c r="U42" s="37">
        <v>0</v>
      </c>
      <c r="V42" s="51">
        <v>0</v>
      </c>
      <c r="W42" s="51">
        <v>0</v>
      </c>
      <c r="X42" s="38">
        <v>0</v>
      </c>
      <c r="Y42" s="37">
        <f>LARGE((Table62[[#This Row],[K1]:[Z4]]),1)</f>
        <v>0</v>
      </c>
      <c r="Z42" s="51">
        <f>LARGE((Table62[[#This Row],[K1]:[Z4]]),2)</f>
        <v>0</v>
      </c>
      <c r="AA42" s="51">
        <f>LARGE((Table62[[#This Row],[K1]:[Z4]]),3)</f>
        <v>0</v>
      </c>
      <c r="AB42" s="51">
        <f>LARGE((Table62[[#This Row],[K1]:[Z4]]),4)</f>
        <v>0</v>
      </c>
      <c r="AC42" s="51">
        <f>LARGE((Table62[[#This Row],[K1]:[Z4]]),5)</f>
        <v>0</v>
      </c>
      <c r="AD42" s="51">
        <f>LARGE((Table62[[#This Row],[K1]:[Z4]]),6)</f>
        <v>0</v>
      </c>
      <c r="AE42" s="51">
        <f>LARGE((Table62[[#This Row],[K1]:[Z4]]),7)</f>
        <v>0</v>
      </c>
      <c r="AF42" s="51">
        <f>LARGE((Table62[[#This Row],[K1]:[Z4]]),8)</f>
        <v>0</v>
      </c>
      <c r="AG42" s="51">
        <f>LARGE((Table62[[#This Row],[K1]:[Z4]]),9)</f>
        <v>0</v>
      </c>
      <c r="AH42" s="38">
        <f>LARGE((Table62[[#This Row],[K1]:[Z4]]),10)</f>
        <v>0</v>
      </c>
      <c r="AI42" s="45">
        <f t="shared" si="0"/>
        <v>0</v>
      </c>
      <c r="AJ42" s="37">
        <f t="shared" si="1"/>
        <v>12</v>
      </c>
      <c r="AK42" s="11"/>
    </row>
    <row r="43" spans="1:37" ht="14.4" x14ac:dyDescent="0.3">
      <c r="A43" s="59">
        <v>40</v>
      </c>
      <c r="B43" s="51">
        <v>525</v>
      </c>
      <c r="C43" t="str">
        <f>_xlfn.XLOOKUP(B43,Sheet2!B:B,Sheet2!C:C)</f>
        <v>Qaanit Doutie</v>
      </c>
      <c r="D43" s="52">
        <f>_xlfn.XLOOKUP(B43,Sheet2!B:B,Sheet2!G:G)</f>
        <v>41219</v>
      </c>
      <c r="E43" s="51" t="str">
        <f>_xlfn.XLOOKUP(B43,Sheet2!B:B,Sheet2!H:H)</f>
        <v>WP</v>
      </c>
      <c r="F43" s="30" t="str">
        <f>_xlfn.XLOOKUP(B43,Sheet2!B:B,Sheet2!D:D)</f>
        <v>CRG</v>
      </c>
      <c r="G43" s="37">
        <v>2</v>
      </c>
      <c r="H43" s="51">
        <v>3</v>
      </c>
      <c r="I43" s="51">
        <v>3</v>
      </c>
      <c r="J43" s="51">
        <v>3</v>
      </c>
      <c r="K43" s="49">
        <f>SUM(Table62[[#This Row],[SARMC 1]:[SARMC 4]])</f>
        <v>11</v>
      </c>
      <c r="L43" s="37">
        <v>0</v>
      </c>
      <c r="M43" s="51">
        <v>0</v>
      </c>
      <c r="N43" s="38">
        <v>0</v>
      </c>
      <c r="O43" s="37">
        <v>0</v>
      </c>
      <c r="P43" s="51">
        <v>0</v>
      </c>
      <c r="Q43" s="38">
        <v>0</v>
      </c>
      <c r="R43" s="37">
        <v>0</v>
      </c>
      <c r="S43" s="51">
        <v>0</v>
      </c>
      <c r="T43" s="38">
        <v>0</v>
      </c>
      <c r="U43" s="37">
        <v>0</v>
      </c>
      <c r="V43" s="51">
        <v>0</v>
      </c>
      <c r="W43" s="51">
        <v>0</v>
      </c>
      <c r="X43" s="38">
        <v>0</v>
      </c>
      <c r="Y43" s="37">
        <f>LARGE((Table62[[#This Row],[K1]:[Z4]]),1)</f>
        <v>0</v>
      </c>
      <c r="Z43" s="51">
        <f>LARGE((Table62[[#This Row],[K1]:[Z4]]),2)</f>
        <v>0</v>
      </c>
      <c r="AA43" s="51">
        <f>LARGE((Table62[[#This Row],[K1]:[Z4]]),3)</f>
        <v>0</v>
      </c>
      <c r="AB43" s="51">
        <f>LARGE((Table62[[#This Row],[K1]:[Z4]]),4)</f>
        <v>0</v>
      </c>
      <c r="AC43" s="51">
        <f>LARGE((Table62[[#This Row],[K1]:[Z4]]),5)</f>
        <v>0</v>
      </c>
      <c r="AD43" s="51">
        <f>LARGE((Table62[[#This Row],[K1]:[Z4]]),6)</f>
        <v>0</v>
      </c>
      <c r="AE43" s="51">
        <f>LARGE((Table62[[#This Row],[K1]:[Z4]]),7)</f>
        <v>0</v>
      </c>
      <c r="AF43" s="51">
        <f>LARGE((Table62[[#This Row],[K1]:[Z4]]),8)</f>
        <v>0</v>
      </c>
      <c r="AG43" s="51">
        <f>LARGE((Table62[[#This Row],[K1]:[Z4]]),9)</f>
        <v>0</v>
      </c>
      <c r="AH43" s="38">
        <f>LARGE((Table62[[#This Row],[K1]:[Z4]]),10)</f>
        <v>0</v>
      </c>
      <c r="AI43" s="45">
        <f t="shared" si="0"/>
        <v>0</v>
      </c>
      <c r="AJ43" s="37">
        <f t="shared" si="1"/>
        <v>11</v>
      </c>
      <c r="AK43" s="11"/>
    </row>
    <row r="44" spans="1:37" ht="14.4" x14ac:dyDescent="0.3">
      <c r="A44" s="59">
        <v>41</v>
      </c>
      <c r="B44" s="51">
        <v>529</v>
      </c>
      <c r="C44" t="str">
        <f>_xlfn.XLOOKUP(B44,Sheet2!B:B,Sheet2!C:C)</f>
        <v>Rorisang Mafisa</v>
      </c>
      <c r="D44" s="52">
        <f>_xlfn.XLOOKUP(B44,Sheet2!B:B,Sheet2!G:G)</f>
        <v>46574</v>
      </c>
      <c r="E44" s="51" t="str">
        <f>_xlfn.XLOOKUP(B44,Sheet2!B:B,Sheet2!H:H)</f>
        <v>NR</v>
      </c>
      <c r="F44" s="30" t="str">
        <f>_xlfn.XLOOKUP(B44,Sheet2!B:B,Sheet2!D:D)</f>
        <v>KR</v>
      </c>
      <c r="G44" s="37">
        <v>3</v>
      </c>
      <c r="H44" s="51">
        <v>3</v>
      </c>
      <c r="I44" s="51">
        <v>0</v>
      </c>
      <c r="J44" s="51">
        <v>3</v>
      </c>
      <c r="K44" s="49">
        <f>SUM(Table62[[#This Row],[SARMC 1]:[SARMC 4]])</f>
        <v>9</v>
      </c>
      <c r="L44" s="37">
        <v>0</v>
      </c>
      <c r="M44" s="51">
        <v>0</v>
      </c>
      <c r="N44" s="38">
        <v>0</v>
      </c>
      <c r="O44" s="37">
        <v>0</v>
      </c>
      <c r="P44" s="51">
        <v>0</v>
      </c>
      <c r="Q44" s="38">
        <v>0</v>
      </c>
      <c r="R44" s="37">
        <v>0</v>
      </c>
      <c r="S44" s="51">
        <v>0</v>
      </c>
      <c r="T44" s="38">
        <v>0</v>
      </c>
      <c r="U44" s="37">
        <v>0</v>
      </c>
      <c r="V44" s="51">
        <v>0</v>
      </c>
      <c r="W44" s="51">
        <v>0</v>
      </c>
      <c r="X44" s="38">
        <v>0</v>
      </c>
      <c r="Y44" s="37">
        <f>LARGE((Table62[[#This Row],[K1]:[Z4]]),1)</f>
        <v>0</v>
      </c>
      <c r="Z44" s="51">
        <f>LARGE((Table62[[#This Row],[K1]:[Z4]]),2)</f>
        <v>0</v>
      </c>
      <c r="AA44" s="51">
        <f>LARGE((Table62[[#This Row],[K1]:[Z4]]),3)</f>
        <v>0</v>
      </c>
      <c r="AB44" s="51">
        <f>LARGE((Table62[[#This Row],[K1]:[Z4]]),4)</f>
        <v>0</v>
      </c>
      <c r="AC44" s="51">
        <f>LARGE((Table62[[#This Row],[K1]:[Z4]]),5)</f>
        <v>0</v>
      </c>
      <c r="AD44" s="51">
        <f>LARGE((Table62[[#This Row],[K1]:[Z4]]),6)</f>
        <v>0</v>
      </c>
      <c r="AE44" s="51">
        <f>LARGE((Table62[[#This Row],[K1]:[Z4]]),7)</f>
        <v>0</v>
      </c>
      <c r="AF44" s="51">
        <f>LARGE((Table62[[#This Row],[K1]:[Z4]]),8)</f>
        <v>0</v>
      </c>
      <c r="AG44" s="51">
        <f>LARGE((Table62[[#This Row],[K1]:[Z4]]),9)</f>
        <v>0</v>
      </c>
      <c r="AH44" s="38">
        <f>LARGE((Table62[[#This Row],[K1]:[Z4]]),10)</f>
        <v>0</v>
      </c>
      <c r="AI44" s="45">
        <f t="shared" si="0"/>
        <v>0</v>
      </c>
      <c r="AJ44" s="37">
        <f t="shared" si="1"/>
        <v>9</v>
      </c>
      <c r="AK44" s="11"/>
    </row>
    <row r="45" spans="1:37" ht="14.4" x14ac:dyDescent="0.3">
      <c r="A45" s="59">
        <v>42</v>
      </c>
      <c r="B45" s="51">
        <v>550</v>
      </c>
      <c r="C45" t="str">
        <f>_xlfn.XLOOKUP(B45,Sheet2!B:B,Sheet2!C:C)</f>
        <v>Sean Arde</v>
      </c>
      <c r="D45" s="52">
        <f>_xlfn.XLOOKUP(B45,Sheet2!B:B,Sheet2!G:G)</f>
        <v>39867</v>
      </c>
      <c r="E45" s="51" t="str">
        <f>_xlfn.XLOOKUP(B45,Sheet2!B:B,Sheet2!H:H)</f>
        <v>KZN</v>
      </c>
      <c r="F45" s="30" t="str">
        <f>_xlfn.XLOOKUP(B45,Sheet2!B:B,Sheet2!D:D)</f>
        <v>CRG</v>
      </c>
      <c r="G45" s="37">
        <v>3</v>
      </c>
      <c r="H45" s="51">
        <v>0</v>
      </c>
      <c r="I45" s="51">
        <v>3</v>
      </c>
      <c r="J45" s="51">
        <v>3</v>
      </c>
      <c r="K45" s="49">
        <f>SUM(Table62[[#This Row],[SARMC 1]:[SARMC 4]])</f>
        <v>9</v>
      </c>
      <c r="L45" s="37">
        <v>0</v>
      </c>
      <c r="M45" s="51">
        <v>0</v>
      </c>
      <c r="N45" s="38">
        <v>0</v>
      </c>
      <c r="O45" s="37">
        <v>0</v>
      </c>
      <c r="P45" s="51">
        <v>0</v>
      </c>
      <c r="Q45" s="38">
        <v>0</v>
      </c>
      <c r="R45" s="37">
        <v>0</v>
      </c>
      <c r="S45" s="51">
        <v>0</v>
      </c>
      <c r="T45" s="38">
        <v>0</v>
      </c>
      <c r="U45" s="37">
        <v>0</v>
      </c>
      <c r="V45" s="51">
        <v>0</v>
      </c>
      <c r="W45" s="51">
        <v>0</v>
      </c>
      <c r="X45" s="38">
        <v>0</v>
      </c>
      <c r="Y45" s="37">
        <f>LARGE((Table62[[#This Row],[K1]:[Z4]]),1)</f>
        <v>0</v>
      </c>
      <c r="Z45" s="51">
        <f>LARGE((Table62[[#This Row],[K1]:[Z4]]),2)</f>
        <v>0</v>
      </c>
      <c r="AA45" s="51">
        <f>LARGE((Table62[[#This Row],[K1]:[Z4]]),3)</f>
        <v>0</v>
      </c>
      <c r="AB45" s="51">
        <f>LARGE((Table62[[#This Row],[K1]:[Z4]]),4)</f>
        <v>0</v>
      </c>
      <c r="AC45" s="51">
        <f>LARGE((Table62[[#This Row],[K1]:[Z4]]),5)</f>
        <v>0</v>
      </c>
      <c r="AD45" s="51">
        <f>LARGE((Table62[[#This Row],[K1]:[Z4]]),6)</f>
        <v>0</v>
      </c>
      <c r="AE45" s="51">
        <f>LARGE((Table62[[#This Row],[K1]:[Z4]]),7)</f>
        <v>0</v>
      </c>
      <c r="AF45" s="51">
        <f>LARGE((Table62[[#This Row],[K1]:[Z4]]),8)</f>
        <v>0</v>
      </c>
      <c r="AG45" s="51">
        <f>LARGE((Table62[[#This Row],[K1]:[Z4]]),9)</f>
        <v>0</v>
      </c>
      <c r="AH45" s="38">
        <f>LARGE((Table62[[#This Row],[K1]:[Z4]]),10)</f>
        <v>0</v>
      </c>
      <c r="AI45" s="45">
        <f t="shared" si="0"/>
        <v>0</v>
      </c>
      <c r="AJ45" s="37">
        <f t="shared" si="1"/>
        <v>9</v>
      </c>
      <c r="AK45" s="11"/>
    </row>
    <row r="46" spans="1:37" ht="14.4" x14ac:dyDescent="0.3">
      <c r="A46" s="59">
        <v>43</v>
      </c>
      <c r="B46" s="51">
        <v>585</v>
      </c>
      <c r="C46" t="str">
        <f>_xlfn.XLOOKUP(B46,Sheet2!B:B,Sheet2!C:C)</f>
        <v>Liam Schonken</v>
      </c>
      <c r="D46" s="52">
        <f>_xlfn.XLOOKUP(B46,Sheet2!B:B,Sheet2!G:G)</f>
        <v>45850</v>
      </c>
      <c r="E46" s="51" t="str">
        <f>_xlfn.XLOOKUP(B46,Sheet2!B:B,Sheet2!H:H)</f>
        <v>KZN</v>
      </c>
      <c r="F46" s="30" t="str">
        <f>_xlfn.XLOOKUP(B46,Sheet2!B:B,Sheet2!D:D)</f>
        <v>LNK</v>
      </c>
      <c r="G46" s="37">
        <v>3</v>
      </c>
      <c r="H46" s="51">
        <v>3</v>
      </c>
      <c r="I46" s="51">
        <v>3</v>
      </c>
      <c r="J46" s="51">
        <v>0</v>
      </c>
      <c r="K46" s="49">
        <f>SUM(Table62[[#This Row],[SARMC 1]:[SARMC 4]])</f>
        <v>9</v>
      </c>
      <c r="L46" s="37">
        <v>0</v>
      </c>
      <c r="M46" s="51">
        <v>0</v>
      </c>
      <c r="N46" s="38">
        <v>0</v>
      </c>
      <c r="O46" s="37">
        <v>0</v>
      </c>
      <c r="P46" s="51">
        <v>0</v>
      </c>
      <c r="Q46" s="38">
        <v>0</v>
      </c>
      <c r="R46" s="37">
        <v>0</v>
      </c>
      <c r="S46" s="51">
        <v>0</v>
      </c>
      <c r="T46" s="38">
        <v>0</v>
      </c>
      <c r="U46" s="37">
        <v>0</v>
      </c>
      <c r="V46" s="51">
        <v>0</v>
      </c>
      <c r="W46" s="51">
        <v>0</v>
      </c>
      <c r="X46" s="38">
        <v>0</v>
      </c>
      <c r="Y46" s="37">
        <f>LARGE((Table62[[#This Row],[K1]:[Z4]]),1)</f>
        <v>0</v>
      </c>
      <c r="Z46" s="51">
        <f>LARGE((Table62[[#This Row],[K1]:[Z4]]),2)</f>
        <v>0</v>
      </c>
      <c r="AA46" s="51">
        <f>LARGE((Table62[[#This Row],[K1]:[Z4]]),3)</f>
        <v>0</v>
      </c>
      <c r="AB46" s="51">
        <f>LARGE((Table62[[#This Row],[K1]:[Z4]]),4)</f>
        <v>0</v>
      </c>
      <c r="AC46" s="51">
        <f>LARGE((Table62[[#This Row],[K1]:[Z4]]),5)</f>
        <v>0</v>
      </c>
      <c r="AD46" s="51">
        <f>LARGE((Table62[[#This Row],[K1]:[Z4]]),6)</f>
        <v>0</v>
      </c>
      <c r="AE46" s="51">
        <f>LARGE((Table62[[#This Row],[K1]:[Z4]]),7)</f>
        <v>0</v>
      </c>
      <c r="AF46" s="51">
        <f>LARGE((Table62[[#This Row],[K1]:[Z4]]),8)</f>
        <v>0</v>
      </c>
      <c r="AG46" s="51">
        <f>LARGE((Table62[[#This Row],[K1]:[Z4]]),9)</f>
        <v>0</v>
      </c>
      <c r="AH46" s="38">
        <f>LARGE((Table62[[#This Row],[K1]:[Z4]]),10)</f>
        <v>0</v>
      </c>
      <c r="AI46" s="45">
        <f t="shared" si="0"/>
        <v>0</v>
      </c>
      <c r="AJ46" s="37">
        <f t="shared" si="1"/>
        <v>9</v>
      </c>
      <c r="AK46" s="11"/>
    </row>
    <row r="47" spans="1:37" ht="14.4" x14ac:dyDescent="0.3">
      <c r="A47" s="59">
        <v>44</v>
      </c>
      <c r="B47" s="51">
        <v>543</v>
      </c>
      <c r="C47" t="s">
        <v>224</v>
      </c>
      <c r="D47" s="52"/>
      <c r="E47" s="51" t="s">
        <v>44</v>
      </c>
      <c r="F47" s="30" t="s">
        <v>53</v>
      </c>
      <c r="G47" s="37">
        <v>0</v>
      </c>
      <c r="H47" s="51">
        <v>3</v>
      </c>
      <c r="I47" s="51">
        <v>3</v>
      </c>
      <c r="J47" s="51">
        <v>3</v>
      </c>
      <c r="K47" s="49">
        <f>SUM(Table62[[#This Row],[SARMC 1]:[SARMC 4]])</f>
        <v>9</v>
      </c>
      <c r="L47" s="37">
        <v>0</v>
      </c>
      <c r="M47" s="51">
        <v>0</v>
      </c>
      <c r="N47" s="38">
        <v>0</v>
      </c>
      <c r="O47" s="37">
        <v>0</v>
      </c>
      <c r="P47" s="51">
        <v>0</v>
      </c>
      <c r="Q47" s="38">
        <v>0</v>
      </c>
      <c r="R47" s="37">
        <v>0</v>
      </c>
      <c r="S47" s="51">
        <v>0</v>
      </c>
      <c r="T47" s="38">
        <v>0</v>
      </c>
      <c r="U47" s="37">
        <v>0</v>
      </c>
      <c r="V47" s="51">
        <v>0</v>
      </c>
      <c r="W47" s="51">
        <v>0</v>
      </c>
      <c r="X47" s="38">
        <v>0</v>
      </c>
      <c r="Y47" s="37">
        <f>LARGE((Table62[[#This Row],[K1]:[Z4]]),1)</f>
        <v>0</v>
      </c>
      <c r="Z47" s="51">
        <f>LARGE((Table62[[#This Row],[K1]:[Z4]]),2)</f>
        <v>0</v>
      </c>
      <c r="AA47" s="51">
        <f>LARGE((Table62[[#This Row],[K1]:[Z4]]),3)</f>
        <v>0</v>
      </c>
      <c r="AB47" s="51">
        <f>LARGE((Table62[[#This Row],[K1]:[Z4]]),4)</f>
        <v>0</v>
      </c>
      <c r="AC47" s="51">
        <f>LARGE((Table62[[#This Row],[K1]:[Z4]]),5)</f>
        <v>0</v>
      </c>
      <c r="AD47" s="51">
        <f>LARGE((Table62[[#This Row],[K1]:[Z4]]),6)</f>
        <v>0</v>
      </c>
      <c r="AE47" s="51">
        <f>LARGE((Table62[[#This Row],[K1]:[Z4]]),7)</f>
        <v>0</v>
      </c>
      <c r="AF47" s="51">
        <f>LARGE((Table62[[#This Row],[K1]:[Z4]]),8)</f>
        <v>0</v>
      </c>
      <c r="AG47" s="51">
        <f>LARGE((Table62[[#This Row],[K1]:[Z4]]),9)</f>
        <v>0</v>
      </c>
      <c r="AH47" s="38">
        <f>LARGE((Table62[[#This Row],[K1]:[Z4]]),10)</f>
        <v>0</v>
      </c>
      <c r="AI47" s="45">
        <f t="shared" si="0"/>
        <v>0</v>
      </c>
      <c r="AJ47" s="37">
        <f t="shared" si="1"/>
        <v>9</v>
      </c>
      <c r="AK47" s="11"/>
    </row>
    <row r="48" spans="1:37" ht="14.4" x14ac:dyDescent="0.3">
      <c r="A48" s="59">
        <v>45</v>
      </c>
      <c r="B48" s="51">
        <v>538</v>
      </c>
      <c r="C48" t="s">
        <v>462</v>
      </c>
      <c r="D48" s="52"/>
      <c r="E48" s="51" t="s">
        <v>44</v>
      </c>
      <c r="F48" s="30"/>
      <c r="G48" s="37">
        <v>0</v>
      </c>
      <c r="H48" s="51">
        <v>3</v>
      </c>
      <c r="I48" s="51">
        <v>3</v>
      </c>
      <c r="J48" s="51">
        <v>3</v>
      </c>
      <c r="K48" s="49">
        <f>SUM(Table62[[#This Row],[SARMC 1]:[SARMC 4]])</f>
        <v>9</v>
      </c>
      <c r="L48" s="37">
        <v>0</v>
      </c>
      <c r="M48" s="51">
        <v>0</v>
      </c>
      <c r="N48" s="38">
        <v>0</v>
      </c>
      <c r="O48" s="37">
        <v>0</v>
      </c>
      <c r="P48" s="51">
        <v>0</v>
      </c>
      <c r="Q48" s="38">
        <v>0</v>
      </c>
      <c r="R48" s="37">
        <v>0</v>
      </c>
      <c r="S48" s="51">
        <v>0</v>
      </c>
      <c r="T48" s="38">
        <v>0</v>
      </c>
      <c r="U48" s="37">
        <v>0</v>
      </c>
      <c r="V48" s="51">
        <v>0</v>
      </c>
      <c r="W48" s="51">
        <v>0</v>
      </c>
      <c r="X48" s="38">
        <v>0</v>
      </c>
      <c r="Y48" s="37">
        <f>LARGE((Table62[[#This Row],[K1]:[Z4]]),1)</f>
        <v>0</v>
      </c>
      <c r="Z48" s="51">
        <f>LARGE((Table62[[#This Row],[K1]:[Z4]]),2)</f>
        <v>0</v>
      </c>
      <c r="AA48" s="51">
        <f>LARGE((Table62[[#This Row],[K1]:[Z4]]),3)</f>
        <v>0</v>
      </c>
      <c r="AB48" s="51">
        <f>LARGE((Table62[[#This Row],[K1]:[Z4]]),4)</f>
        <v>0</v>
      </c>
      <c r="AC48" s="51">
        <f>LARGE((Table62[[#This Row],[K1]:[Z4]]),5)</f>
        <v>0</v>
      </c>
      <c r="AD48" s="51">
        <f>LARGE((Table62[[#This Row],[K1]:[Z4]]),6)</f>
        <v>0</v>
      </c>
      <c r="AE48" s="51">
        <f>LARGE((Table62[[#This Row],[K1]:[Z4]]),7)</f>
        <v>0</v>
      </c>
      <c r="AF48" s="51">
        <f>LARGE((Table62[[#This Row],[K1]:[Z4]]),8)</f>
        <v>0</v>
      </c>
      <c r="AG48" s="51">
        <f>LARGE((Table62[[#This Row],[K1]:[Z4]]),9)</f>
        <v>0</v>
      </c>
      <c r="AH48" s="38">
        <f>LARGE((Table62[[#This Row],[K1]:[Z4]]),10)</f>
        <v>0</v>
      </c>
      <c r="AI48" s="45">
        <f t="shared" si="0"/>
        <v>0</v>
      </c>
      <c r="AJ48" s="37">
        <f t="shared" si="1"/>
        <v>9</v>
      </c>
      <c r="AK48" s="11"/>
    </row>
    <row r="49" spans="1:37" ht="14.4" x14ac:dyDescent="0.3">
      <c r="A49" s="59">
        <v>46</v>
      </c>
      <c r="B49" s="51">
        <v>575</v>
      </c>
      <c r="C49" t="str">
        <f>_xlfn.XLOOKUP(B49,Sheet2!B:B,Sheet2!C:C)</f>
        <v>Ronald Venter</v>
      </c>
      <c r="D49" s="52">
        <f>_xlfn.XLOOKUP(B49,Sheet2!B:B,Sheet2!G:G)</f>
        <v>32140</v>
      </c>
      <c r="E49" s="51" t="str">
        <f>_xlfn.XLOOKUP(B49,Sheet2!B:B,Sheet2!H:H)</f>
        <v>NR</v>
      </c>
      <c r="F49" s="30" t="str">
        <f>_xlfn.XLOOKUP(B49,Sheet2!B:B,Sheet2!D:D)</f>
        <v>PAROLIN</v>
      </c>
      <c r="G49" s="37">
        <v>3</v>
      </c>
      <c r="H49" s="51">
        <v>3</v>
      </c>
      <c r="I49" s="51">
        <v>0</v>
      </c>
      <c r="J49" s="51">
        <v>0</v>
      </c>
      <c r="K49" s="49">
        <f>SUM(Table62[[#This Row],[SARMC 1]:[SARMC 4]])</f>
        <v>6</v>
      </c>
      <c r="L49" s="37">
        <v>0</v>
      </c>
      <c r="M49" s="51">
        <v>0</v>
      </c>
      <c r="N49" s="38">
        <v>0</v>
      </c>
      <c r="O49" s="37">
        <v>0</v>
      </c>
      <c r="P49" s="51">
        <v>0</v>
      </c>
      <c r="Q49" s="38">
        <v>0</v>
      </c>
      <c r="R49" s="37">
        <v>0</v>
      </c>
      <c r="S49" s="51">
        <v>0</v>
      </c>
      <c r="T49" s="38">
        <v>0</v>
      </c>
      <c r="U49" s="37">
        <v>0</v>
      </c>
      <c r="V49" s="51">
        <v>0</v>
      </c>
      <c r="W49" s="51">
        <v>0</v>
      </c>
      <c r="X49" s="38">
        <v>0</v>
      </c>
      <c r="Y49" s="37">
        <f>LARGE((Table62[[#This Row],[K1]:[Z4]]),1)</f>
        <v>0</v>
      </c>
      <c r="Z49" s="51">
        <f>LARGE((Table62[[#This Row],[K1]:[Z4]]),2)</f>
        <v>0</v>
      </c>
      <c r="AA49" s="51">
        <f>LARGE((Table62[[#This Row],[K1]:[Z4]]),3)</f>
        <v>0</v>
      </c>
      <c r="AB49" s="51">
        <f>LARGE((Table62[[#This Row],[K1]:[Z4]]),4)</f>
        <v>0</v>
      </c>
      <c r="AC49" s="51">
        <f>LARGE((Table62[[#This Row],[K1]:[Z4]]),5)</f>
        <v>0</v>
      </c>
      <c r="AD49" s="51">
        <f>LARGE((Table62[[#This Row],[K1]:[Z4]]),6)</f>
        <v>0</v>
      </c>
      <c r="AE49" s="51">
        <f>LARGE((Table62[[#This Row],[K1]:[Z4]]),7)</f>
        <v>0</v>
      </c>
      <c r="AF49" s="51">
        <f>LARGE((Table62[[#This Row],[K1]:[Z4]]),8)</f>
        <v>0</v>
      </c>
      <c r="AG49" s="51">
        <f>LARGE((Table62[[#This Row],[K1]:[Z4]]),9)</f>
        <v>0</v>
      </c>
      <c r="AH49" s="38">
        <f>LARGE((Table62[[#This Row],[K1]:[Z4]]),10)</f>
        <v>0</v>
      </c>
      <c r="AI49" s="45">
        <f t="shared" si="0"/>
        <v>0</v>
      </c>
      <c r="AJ49" s="37">
        <f t="shared" si="1"/>
        <v>6</v>
      </c>
      <c r="AK49" s="11"/>
    </row>
    <row r="50" spans="1:37" ht="14.4" x14ac:dyDescent="0.3">
      <c r="A50" s="59">
        <v>47</v>
      </c>
      <c r="B50" s="51">
        <v>521</v>
      </c>
      <c r="C50" t="str">
        <f>_xlfn.XLOOKUP(B50,Sheet2!B:B,Sheet2!C:C)</f>
        <v>Mia Hermanus</v>
      </c>
      <c r="D50" s="52">
        <f>_xlfn.XLOOKUP(B50,Sheet2!B:B,Sheet2!G:G)</f>
        <v>37256</v>
      </c>
      <c r="E50" s="51" t="str">
        <f>_xlfn.XLOOKUP(B50,Sheet2!B:B,Sheet2!H:H)</f>
        <v>WP</v>
      </c>
      <c r="F50" s="30" t="str">
        <f>_xlfn.XLOOKUP(B50,Sheet2!B:B,Sheet2!D:D)</f>
        <v>CRG</v>
      </c>
      <c r="G50" s="37">
        <v>0</v>
      </c>
      <c r="H50" s="51">
        <v>3</v>
      </c>
      <c r="I50" s="51">
        <v>2</v>
      </c>
      <c r="J50" s="51">
        <v>0</v>
      </c>
      <c r="K50" s="49">
        <f>SUM(Table62[[#This Row],[SARMC 1]:[SARMC 4]])</f>
        <v>5</v>
      </c>
      <c r="L50" s="37">
        <v>0</v>
      </c>
      <c r="M50" s="51">
        <v>0</v>
      </c>
      <c r="N50" s="38">
        <v>0</v>
      </c>
      <c r="O50" s="37">
        <v>0</v>
      </c>
      <c r="P50" s="51">
        <v>0</v>
      </c>
      <c r="Q50" s="38">
        <v>0</v>
      </c>
      <c r="R50" s="37">
        <v>0</v>
      </c>
      <c r="S50" s="51">
        <v>0</v>
      </c>
      <c r="T50" s="38">
        <v>0</v>
      </c>
      <c r="U50" s="37">
        <v>0</v>
      </c>
      <c r="V50" s="51">
        <v>0</v>
      </c>
      <c r="W50" s="51">
        <v>0</v>
      </c>
      <c r="X50" s="38">
        <v>0</v>
      </c>
      <c r="Y50" s="37">
        <f>LARGE((Table62[[#This Row],[K1]:[Z4]]),1)</f>
        <v>0</v>
      </c>
      <c r="Z50" s="51">
        <f>LARGE((Table62[[#This Row],[K1]:[Z4]]),2)</f>
        <v>0</v>
      </c>
      <c r="AA50" s="51">
        <f>LARGE((Table62[[#This Row],[K1]:[Z4]]),3)</f>
        <v>0</v>
      </c>
      <c r="AB50" s="51">
        <f>LARGE((Table62[[#This Row],[K1]:[Z4]]),4)</f>
        <v>0</v>
      </c>
      <c r="AC50" s="51">
        <f>LARGE((Table62[[#This Row],[K1]:[Z4]]),5)</f>
        <v>0</v>
      </c>
      <c r="AD50" s="51">
        <f>LARGE((Table62[[#This Row],[K1]:[Z4]]),6)</f>
        <v>0</v>
      </c>
      <c r="AE50" s="51">
        <f>LARGE((Table62[[#This Row],[K1]:[Z4]]),7)</f>
        <v>0</v>
      </c>
      <c r="AF50" s="51">
        <f>LARGE((Table62[[#This Row],[K1]:[Z4]]),8)</f>
        <v>0</v>
      </c>
      <c r="AG50" s="51">
        <f>LARGE((Table62[[#This Row],[K1]:[Z4]]),9)</f>
        <v>0</v>
      </c>
      <c r="AH50" s="38">
        <f>LARGE((Table62[[#This Row],[K1]:[Z4]]),10)</f>
        <v>0</v>
      </c>
      <c r="AI50" s="45">
        <f t="shared" si="0"/>
        <v>0</v>
      </c>
      <c r="AJ50" s="37">
        <f t="shared" si="1"/>
        <v>5</v>
      </c>
      <c r="AK50" s="11"/>
    </row>
    <row r="51" spans="1:37" ht="14.4" x14ac:dyDescent="0.3">
      <c r="A51" s="59">
        <v>48</v>
      </c>
      <c r="B51" s="51">
        <v>520</v>
      </c>
      <c r="C51" t="str">
        <f>_xlfn.XLOOKUP(B51,Sheet2!B:B,Sheet2!C:C)</f>
        <v>Raidyn Reddy</v>
      </c>
      <c r="D51" s="52">
        <f>_xlfn.XLOOKUP(B51,Sheet2!B:B,Sheet2!G:G)</f>
        <v>38140</v>
      </c>
      <c r="E51" s="51" t="str">
        <f>_xlfn.XLOOKUP(B51,Sheet2!B:B,Sheet2!H:H)</f>
        <v>NR</v>
      </c>
      <c r="F51" s="30" t="str">
        <f>_xlfn.XLOOKUP(B51,Sheet2!B:B,Sheet2!D:D)</f>
        <v>CRG</v>
      </c>
      <c r="G51" s="37">
        <v>0</v>
      </c>
      <c r="H51" s="51">
        <v>3</v>
      </c>
      <c r="I51" s="51">
        <v>0</v>
      </c>
      <c r="J51" s="51">
        <v>0</v>
      </c>
      <c r="K51" s="49">
        <f>SUM(Table62[[#This Row],[SARMC 1]:[SARMC 4]])</f>
        <v>3</v>
      </c>
      <c r="L51" s="37">
        <v>0</v>
      </c>
      <c r="M51" s="51">
        <v>0</v>
      </c>
      <c r="N51" s="38">
        <v>0</v>
      </c>
      <c r="O51" s="37">
        <v>0</v>
      </c>
      <c r="P51" s="51">
        <v>0</v>
      </c>
      <c r="Q51" s="38">
        <v>0</v>
      </c>
      <c r="R51" s="37">
        <v>0</v>
      </c>
      <c r="S51" s="51">
        <v>0</v>
      </c>
      <c r="T51" s="38">
        <v>0</v>
      </c>
      <c r="U51" s="37">
        <v>0</v>
      </c>
      <c r="V51" s="51">
        <v>0</v>
      </c>
      <c r="W51" s="51">
        <v>0</v>
      </c>
      <c r="X51" s="38">
        <v>0</v>
      </c>
      <c r="Y51" s="37">
        <f>LARGE((Table62[[#This Row],[K1]:[Z4]]),1)</f>
        <v>0</v>
      </c>
      <c r="Z51" s="51">
        <f>LARGE((Table62[[#This Row],[K1]:[Z4]]),2)</f>
        <v>0</v>
      </c>
      <c r="AA51" s="51">
        <f>LARGE((Table62[[#This Row],[K1]:[Z4]]),3)</f>
        <v>0</v>
      </c>
      <c r="AB51" s="51">
        <f>LARGE((Table62[[#This Row],[K1]:[Z4]]),4)</f>
        <v>0</v>
      </c>
      <c r="AC51" s="51">
        <f>LARGE((Table62[[#This Row],[K1]:[Z4]]),5)</f>
        <v>0</v>
      </c>
      <c r="AD51" s="51">
        <f>LARGE((Table62[[#This Row],[K1]:[Z4]]),6)</f>
        <v>0</v>
      </c>
      <c r="AE51" s="51">
        <f>LARGE((Table62[[#This Row],[K1]:[Z4]]),7)</f>
        <v>0</v>
      </c>
      <c r="AF51" s="51">
        <f>LARGE((Table62[[#This Row],[K1]:[Z4]]),8)</f>
        <v>0</v>
      </c>
      <c r="AG51" s="51">
        <f>LARGE((Table62[[#This Row],[K1]:[Z4]]),9)</f>
        <v>0</v>
      </c>
      <c r="AH51" s="38">
        <f>LARGE((Table62[[#This Row],[K1]:[Z4]]),10)</f>
        <v>0</v>
      </c>
      <c r="AI51" s="45">
        <f t="shared" si="0"/>
        <v>0</v>
      </c>
      <c r="AJ51" s="37">
        <f t="shared" si="1"/>
        <v>3</v>
      </c>
      <c r="AK51" s="11"/>
    </row>
    <row r="52" spans="1:37" x14ac:dyDescent="0.25">
      <c r="A52" s="22"/>
      <c r="B52" s="23"/>
      <c r="C52" s="24" t="s">
        <v>45</v>
      </c>
      <c r="D52" s="31"/>
      <c r="E52" s="25"/>
      <c r="F52" s="32"/>
      <c r="G52" s="23"/>
      <c r="H52" s="23"/>
      <c r="I52" s="23"/>
      <c r="J52" s="23"/>
      <c r="K52" s="27"/>
      <c r="L52" s="22"/>
      <c r="M52" s="22">
        <f>(COUNTIF(M4:M51,"&gt;0"))</f>
        <v>23</v>
      </c>
      <c r="N52" s="22"/>
      <c r="O52" s="22"/>
      <c r="P52" s="22">
        <f>(COUNTIF(O4:O51,"&gt;0"))</f>
        <v>20</v>
      </c>
      <c r="Q52" s="22"/>
      <c r="R52" s="22"/>
      <c r="S52" s="22">
        <f>(COUNTIF(R4:R51,"&gt;0"))</f>
        <v>26</v>
      </c>
      <c r="T52" s="22"/>
      <c r="U52" s="23"/>
      <c r="V52" s="22">
        <f>(COUNTIF(U4:U51,"&gt;0"))</f>
        <v>19</v>
      </c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6"/>
      <c r="AJ52" s="27"/>
    </row>
    <row r="53" spans="1:37" x14ac:dyDescent="0.25">
      <c r="D53" s="33"/>
    </row>
  </sheetData>
  <sortState xmlns:xlrd2="http://schemas.microsoft.com/office/spreadsheetml/2017/richdata2" ref="B4:AY37">
    <sortCondition descending="1" ref="AY4:AY37"/>
    <sortCondition ref="E4:E37"/>
    <sortCondition ref="B4:B37"/>
    <sortCondition descending="1" ref="AB4:AB37"/>
    <sortCondition descending="1" ref="N4:N37"/>
  </sortState>
  <mergeCells count="8">
    <mergeCell ref="A2:F2"/>
    <mergeCell ref="A1:AJ1"/>
    <mergeCell ref="G2:K2"/>
    <mergeCell ref="L2:N2"/>
    <mergeCell ref="O2:Q2"/>
    <mergeCell ref="R2:T2"/>
    <mergeCell ref="U2:X2"/>
    <mergeCell ref="Y2:AH2"/>
  </mergeCells>
  <conditionalFormatting sqref="B1">
    <cfRule type="duplicateValues" dxfId="59" priority="2"/>
    <cfRule type="duplicateValues" dxfId="58" priority="3"/>
    <cfRule type="duplicateValues" dxfId="57" priority="4"/>
  </conditionalFormatting>
  <conditionalFormatting sqref="B1:B1048576">
    <cfRule type="duplicateValues" dxfId="56" priority="1"/>
  </conditionalFormatting>
  <conditionalFormatting sqref="B4">
    <cfRule type="duplicateValues" dxfId="55" priority="5"/>
  </conditionalFormatting>
  <conditionalFormatting sqref="B52:B1048576 B2">
    <cfRule type="duplicateValues" dxfId="54" priority="6"/>
    <cfRule type="duplicateValues" dxfId="53" priority="9"/>
  </conditionalFormatting>
  <conditionalFormatting sqref="B52:B1048576">
    <cfRule type="duplicateValues" dxfId="52" priority="7"/>
  </conditionalFormatting>
  <pageMargins left="0.23622047244094491" right="0.23622047244094491" top="0.31496062992125984" bottom="0.74803149606299213" header="0.31496062992125984" footer="0.31496062992125984"/>
  <pageSetup paperSize="9" scale="73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52"/>
  <sheetViews>
    <sheetView zoomScaleNormal="10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U14" sqref="U14"/>
    </sheetView>
  </sheetViews>
  <sheetFormatPr defaultColWidth="3.6640625" defaultRowHeight="13.8" x14ac:dyDescent="0.25"/>
  <cols>
    <col min="1" max="1" width="5" style="12" bestFit="1" customWidth="1"/>
    <col min="2" max="2" width="4.44140625" style="10" bestFit="1" customWidth="1"/>
    <col min="3" max="3" width="28.6640625" style="10" bestFit="1" customWidth="1"/>
    <col min="4" max="4" width="10.6640625" style="34" customWidth="1"/>
    <col min="5" max="5" width="8.33203125" style="12" customWidth="1"/>
    <col min="6" max="6" width="12.6640625" style="34" customWidth="1"/>
    <col min="7" max="10" width="4" style="10" customWidth="1"/>
    <col min="11" max="11" width="4" style="14" customWidth="1"/>
    <col min="12" max="14" width="4" style="12" customWidth="1"/>
    <col min="15" max="34" width="4" style="10" customWidth="1"/>
    <col min="35" max="35" width="7.109375" style="13" bestFit="1" customWidth="1"/>
    <col min="36" max="36" width="6.44140625" style="14" bestFit="1" customWidth="1"/>
    <col min="37" max="37" width="6.5546875" style="10" bestFit="1" customWidth="1"/>
    <col min="38" max="16384" width="3.6640625" style="10"/>
  </cols>
  <sheetData>
    <row r="1" spans="1:37" s="9" customFormat="1" ht="78.75" customHeight="1" thickBot="1" x14ac:dyDescent="0.35">
      <c r="A1" s="100" t="e" vm="1">
        <v>#VALUE!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2"/>
    </row>
    <row r="2" spans="1:37" ht="25.5" customHeight="1" x14ac:dyDescent="0.25">
      <c r="A2" s="103" t="e" vm="5">
        <v>#VALUE!</v>
      </c>
      <c r="B2" s="104"/>
      <c r="C2" s="104"/>
      <c r="D2" s="104"/>
      <c r="E2" s="104"/>
      <c r="F2" s="104"/>
      <c r="G2" s="110" t="s">
        <v>0</v>
      </c>
      <c r="H2" s="111"/>
      <c r="I2" s="111"/>
      <c r="J2" s="111"/>
      <c r="K2" s="112"/>
      <c r="L2" s="105" t="s">
        <v>1</v>
      </c>
      <c r="M2" s="106"/>
      <c r="N2" s="107"/>
      <c r="O2" s="105" t="s">
        <v>55</v>
      </c>
      <c r="P2" s="106"/>
      <c r="Q2" s="107"/>
      <c r="R2" s="105" t="s">
        <v>466</v>
      </c>
      <c r="S2" s="106"/>
      <c r="T2" s="107"/>
      <c r="U2" s="105" t="s">
        <v>3</v>
      </c>
      <c r="V2" s="108"/>
      <c r="W2" s="108"/>
      <c r="X2" s="109"/>
      <c r="Y2" s="105" t="s">
        <v>4</v>
      </c>
      <c r="Z2" s="108"/>
      <c r="AA2" s="108"/>
      <c r="AB2" s="108"/>
      <c r="AC2" s="108"/>
      <c r="AD2" s="108"/>
      <c r="AE2" s="108"/>
      <c r="AF2" s="108"/>
      <c r="AG2" s="108"/>
      <c r="AH2" s="109"/>
      <c r="AI2" s="54" t="s">
        <v>5</v>
      </c>
      <c r="AJ2" s="55" t="s">
        <v>6</v>
      </c>
    </row>
    <row r="3" spans="1:37" ht="68.400000000000006" thickBot="1" x14ac:dyDescent="0.3">
      <c r="A3" s="56" t="s">
        <v>7</v>
      </c>
      <c r="B3" s="35" t="s">
        <v>8</v>
      </c>
      <c r="C3" s="21" t="s">
        <v>9</v>
      </c>
      <c r="D3" s="28" t="s">
        <v>10</v>
      </c>
      <c r="E3" s="36" t="s">
        <v>11</v>
      </c>
      <c r="F3" s="29" t="s">
        <v>12</v>
      </c>
      <c r="G3" s="39" t="s">
        <v>13</v>
      </c>
      <c r="H3" s="40" t="s">
        <v>14</v>
      </c>
      <c r="I3" s="41" t="s">
        <v>15</v>
      </c>
      <c r="J3" s="50" t="s">
        <v>16</v>
      </c>
      <c r="K3" s="57" t="s">
        <v>17</v>
      </c>
      <c r="L3" s="39" t="s">
        <v>18</v>
      </c>
      <c r="M3" s="41" t="s">
        <v>19</v>
      </c>
      <c r="N3" s="42" t="s">
        <v>20</v>
      </c>
      <c r="O3" s="18" t="s">
        <v>438</v>
      </c>
      <c r="P3" s="16" t="s">
        <v>439</v>
      </c>
      <c r="Q3" s="19" t="s">
        <v>440</v>
      </c>
      <c r="R3" s="18" t="s">
        <v>21</v>
      </c>
      <c r="S3" s="16" t="s">
        <v>22</v>
      </c>
      <c r="T3" s="19" t="s">
        <v>23</v>
      </c>
      <c r="U3" s="70" t="s">
        <v>441</v>
      </c>
      <c r="V3" s="71" t="s">
        <v>442</v>
      </c>
      <c r="W3" s="71" t="s">
        <v>443</v>
      </c>
      <c r="X3" s="17" t="s">
        <v>24</v>
      </c>
      <c r="Y3" s="43" t="s">
        <v>25</v>
      </c>
      <c r="Z3" s="35" t="s">
        <v>26</v>
      </c>
      <c r="AA3" s="35" t="s">
        <v>27</v>
      </c>
      <c r="AB3" s="35" t="s">
        <v>28</v>
      </c>
      <c r="AC3" s="35" t="s">
        <v>29</v>
      </c>
      <c r="AD3" s="35" t="s">
        <v>30</v>
      </c>
      <c r="AE3" s="35" t="s">
        <v>31</v>
      </c>
      <c r="AF3" s="35" t="s">
        <v>32</v>
      </c>
      <c r="AG3" s="35" t="s">
        <v>33</v>
      </c>
      <c r="AH3" s="44" t="s">
        <v>34</v>
      </c>
      <c r="AI3" s="20" t="s">
        <v>35</v>
      </c>
      <c r="AJ3" s="58" t="s">
        <v>5</v>
      </c>
    </row>
    <row r="4" spans="1:37" ht="14.4" customHeight="1" x14ac:dyDescent="0.3">
      <c r="A4" s="59">
        <v>1</v>
      </c>
      <c r="B4" s="51">
        <v>422</v>
      </c>
      <c r="C4" t="str">
        <f>_xlfn.XLOOKUP(B4,Sheet2!B:B,Sheet2!C:C)</f>
        <v>Brodi Cooper Dowling</v>
      </c>
      <c r="D4" s="52">
        <f>_xlfn.XLOOKUP(B4,Sheet2!B:B,Sheet2!G:G)</f>
        <v>31338</v>
      </c>
      <c r="E4" s="51" t="str">
        <f>_xlfn.XLOOKUP(B4,Sheet2!B:B,Sheet2!H:H)</f>
        <v>NR</v>
      </c>
      <c r="F4" s="30" t="s">
        <v>53</v>
      </c>
      <c r="G4" s="37">
        <v>3</v>
      </c>
      <c r="H4" s="51">
        <v>3</v>
      </c>
      <c r="I4" s="51">
        <v>3</v>
      </c>
      <c r="J4" s="51">
        <v>3</v>
      </c>
      <c r="K4" s="48">
        <f>SUM(Table6[[#This Row],[SARMC 1]:[SARMC 4]])</f>
        <v>12</v>
      </c>
      <c r="L4" s="37">
        <v>35</v>
      </c>
      <c r="M4" s="51">
        <v>21</v>
      </c>
      <c r="N4" s="38">
        <v>25</v>
      </c>
      <c r="O4" s="37">
        <v>35</v>
      </c>
      <c r="P4" s="51">
        <v>30</v>
      </c>
      <c r="Q4" s="38">
        <v>35</v>
      </c>
      <c r="R4" s="37">
        <v>25</v>
      </c>
      <c r="S4" s="51">
        <v>30</v>
      </c>
      <c r="T4" s="38">
        <v>32</v>
      </c>
      <c r="U4" s="37">
        <v>35</v>
      </c>
      <c r="V4" s="51">
        <v>27</v>
      </c>
      <c r="W4" s="51">
        <v>32</v>
      </c>
      <c r="X4" s="38">
        <v>21</v>
      </c>
      <c r="Y4" s="46">
        <f>LARGE((Table6[[#This Row],[K1]:[Z4]]),1)</f>
        <v>35</v>
      </c>
      <c r="Z4" s="47">
        <f>LARGE((Table6[[#This Row],[K1]:[Z4]]),2)</f>
        <v>35</v>
      </c>
      <c r="AA4" s="47">
        <f>LARGE((Table6[[#This Row],[K1]:[Z4]]),3)</f>
        <v>35</v>
      </c>
      <c r="AB4" s="47">
        <f>LARGE((Table6[[#This Row],[K1]:[Z4]]),4)</f>
        <v>35</v>
      </c>
      <c r="AC4" s="47">
        <f>LARGE((Table6[[#This Row],[K1]:[Z4]]),5)</f>
        <v>32</v>
      </c>
      <c r="AD4" s="47">
        <f>LARGE((Table6[[#This Row],[K1]:[Z4]]),6)</f>
        <v>32</v>
      </c>
      <c r="AE4" s="47">
        <f>LARGE((Table6[[#This Row],[K1]:[Z4]]),7)</f>
        <v>30</v>
      </c>
      <c r="AF4" s="47">
        <f>LARGE((Table6[[#This Row],[K1]:[Z4]]),8)</f>
        <v>30</v>
      </c>
      <c r="AG4" s="47">
        <f>LARGE((Table6[[#This Row],[K1]:[Z4]]),9)</f>
        <v>27</v>
      </c>
      <c r="AH4" s="47">
        <f>LARGE((Table6[[#This Row],[K1]:[Z4]]),10)</f>
        <v>25</v>
      </c>
      <c r="AI4" s="45">
        <f t="shared" ref="AI4:AI50" si="0">SUM(Y4:AH4)</f>
        <v>316</v>
      </c>
      <c r="AJ4" s="37">
        <f t="shared" ref="AJ4:AJ50" si="1">K4+AI4</f>
        <v>328</v>
      </c>
      <c r="AK4" s="11"/>
    </row>
    <row r="5" spans="1:37" ht="14.4" customHeight="1" x14ac:dyDescent="0.3">
      <c r="A5" s="59">
        <v>2</v>
      </c>
      <c r="B5" s="51">
        <v>477</v>
      </c>
      <c r="C5" t="str">
        <f>_xlfn.XLOOKUP(B5,Sheet2!B:B,Sheet2!C:C)</f>
        <v>Ronaldo Koen</v>
      </c>
      <c r="D5" s="52">
        <f>_xlfn.XLOOKUP(B5,Sheet2!B:B,Sheet2!G:G)</f>
        <v>32644</v>
      </c>
      <c r="E5" s="51" t="str">
        <f>_xlfn.XLOOKUP(B5,Sheet2!B:B,Sheet2!H:H)</f>
        <v>NR</v>
      </c>
      <c r="F5" s="30" t="str">
        <f>_xlfn.XLOOKUP(B5,Sheet2!B:B,Sheet2!D:D)</f>
        <v>LNK</v>
      </c>
      <c r="G5" s="37">
        <v>3</v>
      </c>
      <c r="H5" s="51">
        <v>3</v>
      </c>
      <c r="I5" s="51">
        <v>3</v>
      </c>
      <c r="J5" s="51">
        <v>3</v>
      </c>
      <c r="K5" s="49">
        <f>SUM(Table6[[#This Row],[SARMC 1]:[SARMC 4]])</f>
        <v>12</v>
      </c>
      <c r="L5" s="37">
        <v>29</v>
      </c>
      <c r="M5" s="51">
        <v>24</v>
      </c>
      <c r="N5" s="38">
        <v>29</v>
      </c>
      <c r="O5" s="37">
        <v>30</v>
      </c>
      <c r="P5" s="51">
        <v>32</v>
      </c>
      <c r="Q5" s="38">
        <v>20</v>
      </c>
      <c r="R5" s="37">
        <v>29</v>
      </c>
      <c r="S5" s="51">
        <v>22</v>
      </c>
      <c r="T5" s="38">
        <v>19</v>
      </c>
      <c r="U5" s="37">
        <v>32</v>
      </c>
      <c r="V5" s="51">
        <v>35</v>
      </c>
      <c r="W5" s="51">
        <v>26</v>
      </c>
      <c r="X5" s="38">
        <v>32</v>
      </c>
      <c r="Y5" s="37">
        <f>LARGE((Table6[[#This Row],[K1]:[Z4]]),1)</f>
        <v>35</v>
      </c>
      <c r="Z5" s="51">
        <f>LARGE((Table6[[#This Row],[K1]:[Z4]]),2)</f>
        <v>32</v>
      </c>
      <c r="AA5" s="51">
        <f>LARGE((Table6[[#This Row],[K1]:[Z4]]),3)</f>
        <v>32</v>
      </c>
      <c r="AB5" s="51">
        <f>LARGE((Table6[[#This Row],[K1]:[Z4]]),4)</f>
        <v>32</v>
      </c>
      <c r="AC5" s="51">
        <f>LARGE((Table6[[#This Row],[K1]:[Z4]]),5)</f>
        <v>30</v>
      </c>
      <c r="AD5" s="51">
        <f>LARGE((Table6[[#This Row],[K1]:[Z4]]),6)</f>
        <v>29</v>
      </c>
      <c r="AE5" s="51">
        <f>LARGE((Table6[[#This Row],[K1]:[Z4]]),7)</f>
        <v>29</v>
      </c>
      <c r="AF5" s="51">
        <f>LARGE((Table6[[#This Row],[K1]:[Z4]]),8)</f>
        <v>29</v>
      </c>
      <c r="AG5" s="51">
        <f>LARGE((Table6[[#This Row],[K1]:[Z4]]),9)</f>
        <v>26</v>
      </c>
      <c r="AH5" s="38">
        <f>LARGE((Table6[[#This Row],[K1]:[Z4]]),10)</f>
        <v>24</v>
      </c>
      <c r="AI5" s="45">
        <f t="shared" si="0"/>
        <v>298</v>
      </c>
      <c r="AJ5" s="37">
        <f t="shared" si="1"/>
        <v>310</v>
      </c>
      <c r="AK5" s="11"/>
    </row>
    <row r="6" spans="1:37" ht="14.4" customHeight="1" x14ac:dyDescent="0.3">
      <c r="A6" s="59">
        <v>3</v>
      </c>
      <c r="B6" s="51">
        <v>468</v>
      </c>
      <c r="C6" t="str">
        <f>_xlfn.XLOOKUP(B6,Sheet2!B:B,Sheet2!C:C)</f>
        <v>Logan Billau</v>
      </c>
      <c r="D6" s="52">
        <f>_xlfn.XLOOKUP(B6,Sheet2!B:B,Sheet2!G:G)</f>
        <v>27816</v>
      </c>
      <c r="E6" s="51" t="str">
        <f>_xlfn.XLOOKUP(B6,Sheet2!B:B,Sheet2!H:H)</f>
        <v>NR</v>
      </c>
      <c r="F6" s="30" t="s">
        <v>54</v>
      </c>
      <c r="G6" s="37">
        <v>0</v>
      </c>
      <c r="H6" s="51">
        <v>0</v>
      </c>
      <c r="I6" s="51">
        <v>3</v>
      </c>
      <c r="J6" s="51">
        <v>0</v>
      </c>
      <c r="K6" s="49">
        <f>SUM(Table6[[#This Row],[SARMC 1]:[SARMC 4]])</f>
        <v>3</v>
      </c>
      <c r="L6" s="37">
        <v>0</v>
      </c>
      <c r="M6" s="51">
        <v>0</v>
      </c>
      <c r="N6" s="72">
        <v>0</v>
      </c>
      <c r="O6" s="37">
        <v>29</v>
      </c>
      <c r="P6" s="51">
        <v>29</v>
      </c>
      <c r="Q6" s="38">
        <v>24</v>
      </c>
      <c r="R6" s="37">
        <v>26</v>
      </c>
      <c r="S6" s="51">
        <v>28</v>
      </c>
      <c r="T6" s="38">
        <v>30</v>
      </c>
      <c r="U6" s="37">
        <v>25</v>
      </c>
      <c r="V6" s="51">
        <v>32</v>
      </c>
      <c r="W6" s="51">
        <v>35</v>
      </c>
      <c r="X6" s="38">
        <v>35</v>
      </c>
      <c r="Y6" s="37">
        <f>LARGE((Table6[[#This Row],[K1]:[Z4]]),1)</f>
        <v>35</v>
      </c>
      <c r="Z6" s="51">
        <f>LARGE((Table6[[#This Row],[K1]:[Z4]]),2)</f>
        <v>35</v>
      </c>
      <c r="AA6" s="51">
        <f>LARGE((Table6[[#This Row],[K1]:[Z4]]),3)</f>
        <v>32</v>
      </c>
      <c r="AB6" s="51">
        <f>LARGE((Table6[[#This Row],[K1]:[Z4]]),4)</f>
        <v>30</v>
      </c>
      <c r="AC6" s="51">
        <f>LARGE((Table6[[#This Row],[K1]:[Z4]]),5)</f>
        <v>29</v>
      </c>
      <c r="AD6" s="51">
        <f>LARGE((Table6[[#This Row],[K1]:[Z4]]),6)</f>
        <v>29</v>
      </c>
      <c r="AE6" s="51">
        <f>LARGE((Table6[[#This Row],[K1]:[Z4]]),7)</f>
        <v>28</v>
      </c>
      <c r="AF6" s="51">
        <f>LARGE((Table6[[#This Row],[K1]:[Z4]]),8)</f>
        <v>26</v>
      </c>
      <c r="AG6" s="51">
        <f>LARGE((Table6[[#This Row],[K1]:[Z4]]),9)</f>
        <v>25</v>
      </c>
      <c r="AH6" s="38">
        <f>LARGE((Table6[[#This Row],[K1]:[Z4]]),10)</f>
        <v>24</v>
      </c>
      <c r="AI6" s="45">
        <f t="shared" si="0"/>
        <v>293</v>
      </c>
      <c r="AJ6" s="37">
        <f t="shared" si="1"/>
        <v>296</v>
      </c>
      <c r="AK6" s="11"/>
    </row>
    <row r="7" spans="1:37" ht="14.4" customHeight="1" x14ac:dyDescent="0.3">
      <c r="A7" s="59">
        <v>4</v>
      </c>
      <c r="B7" s="51">
        <v>427</v>
      </c>
      <c r="C7" t="str">
        <f>_xlfn.XLOOKUP(B7,Sheet2!B:B,Sheet2!C:C)</f>
        <v>Keenan Du Plessis</v>
      </c>
      <c r="D7" s="52">
        <f>_xlfn.XLOOKUP(B7,Sheet2!B:B,Sheet2!G:G)</f>
        <v>37735</v>
      </c>
      <c r="E7" s="51" t="str">
        <f>_xlfn.XLOOKUP(B7,Sheet2!B:B,Sheet2!H:H)</f>
        <v>NR</v>
      </c>
      <c r="F7" s="30" t="str">
        <f>_xlfn.XLOOKUP(B7,Sheet2!B:B,Sheet2!D:D)</f>
        <v>LNK</v>
      </c>
      <c r="G7" s="37">
        <v>3</v>
      </c>
      <c r="H7" s="51">
        <v>3</v>
      </c>
      <c r="I7" s="51">
        <v>3</v>
      </c>
      <c r="J7" s="51">
        <v>3</v>
      </c>
      <c r="K7" s="49">
        <f>SUM(Table6[[#This Row],[SARMC 1]:[SARMC 4]])</f>
        <v>12</v>
      </c>
      <c r="L7" s="37">
        <v>26</v>
      </c>
      <c r="M7" s="51">
        <v>19</v>
      </c>
      <c r="N7" s="38">
        <v>22</v>
      </c>
      <c r="O7" s="37">
        <v>23</v>
      </c>
      <c r="P7" s="51">
        <v>25</v>
      </c>
      <c r="Q7" s="38">
        <v>28</v>
      </c>
      <c r="R7" s="37">
        <v>23</v>
      </c>
      <c r="S7" s="51">
        <v>32</v>
      </c>
      <c r="T7" s="38">
        <v>35</v>
      </c>
      <c r="U7" s="37">
        <v>27</v>
      </c>
      <c r="V7" s="51">
        <v>20</v>
      </c>
      <c r="W7" s="51">
        <v>29</v>
      </c>
      <c r="X7" s="38">
        <v>27</v>
      </c>
      <c r="Y7" s="37">
        <f>LARGE((Table6[[#This Row],[K1]:[Z4]]),1)</f>
        <v>35</v>
      </c>
      <c r="Z7" s="51">
        <f>LARGE((Table6[[#This Row],[K1]:[Z4]]),2)</f>
        <v>32</v>
      </c>
      <c r="AA7" s="51">
        <f>LARGE((Table6[[#This Row],[K1]:[Z4]]),3)</f>
        <v>29</v>
      </c>
      <c r="AB7" s="51">
        <f>LARGE((Table6[[#This Row],[K1]:[Z4]]),4)</f>
        <v>28</v>
      </c>
      <c r="AC7" s="51">
        <f>LARGE((Table6[[#This Row],[K1]:[Z4]]),5)</f>
        <v>27</v>
      </c>
      <c r="AD7" s="51">
        <f>LARGE((Table6[[#This Row],[K1]:[Z4]]),6)</f>
        <v>27</v>
      </c>
      <c r="AE7" s="51">
        <f>LARGE((Table6[[#This Row],[K1]:[Z4]]),7)</f>
        <v>26</v>
      </c>
      <c r="AF7" s="51">
        <f>LARGE((Table6[[#This Row],[K1]:[Z4]]),8)</f>
        <v>25</v>
      </c>
      <c r="AG7" s="51">
        <f>LARGE((Table6[[#This Row],[K1]:[Z4]]),9)</f>
        <v>23</v>
      </c>
      <c r="AH7" s="38">
        <f>LARGE((Table6[[#This Row],[K1]:[Z4]]),10)</f>
        <v>23</v>
      </c>
      <c r="AI7" s="45">
        <f t="shared" si="0"/>
        <v>275</v>
      </c>
      <c r="AJ7" s="37">
        <f t="shared" si="1"/>
        <v>287</v>
      </c>
      <c r="AK7" s="11"/>
    </row>
    <row r="8" spans="1:37" ht="14.4" customHeight="1" x14ac:dyDescent="0.3">
      <c r="A8" s="59">
        <v>5</v>
      </c>
      <c r="B8" s="51">
        <v>465</v>
      </c>
      <c r="C8" t="str">
        <f>_xlfn.XLOOKUP(B8,Sheet2!B:B,Sheet2!C:C)</f>
        <v>Rafael De Sousa</v>
      </c>
      <c r="D8" s="52">
        <f>_xlfn.XLOOKUP(B8,Sheet2!B:B,Sheet2!G:G)</f>
        <v>29025</v>
      </c>
      <c r="E8" s="51" t="str">
        <f>_xlfn.XLOOKUP(B8,Sheet2!B:B,Sheet2!H:H)</f>
        <v>NR</v>
      </c>
      <c r="F8" s="30" t="str">
        <f>_xlfn.XLOOKUP(B8,Sheet2!B:B,Sheet2!D:D)</f>
        <v>BIRELART</v>
      </c>
      <c r="G8" s="37">
        <v>3</v>
      </c>
      <c r="H8" s="51">
        <v>3</v>
      </c>
      <c r="I8" s="51">
        <v>3</v>
      </c>
      <c r="J8" s="51">
        <v>3</v>
      </c>
      <c r="K8" s="49">
        <f>SUM(Table6[[#This Row],[SARMC 1]:[SARMC 4]])</f>
        <v>12</v>
      </c>
      <c r="L8" s="37">
        <v>23</v>
      </c>
      <c r="M8" s="51">
        <v>26</v>
      </c>
      <c r="N8" s="38">
        <v>35</v>
      </c>
      <c r="O8" s="37">
        <v>25</v>
      </c>
      <c r="P8" s="51">
        <v>13</v>
      </c>
      <c r="Q8" s="38">
        <v>29</v>
      </c>
      <c r="R8" s="37">
        <v>18</v>
      </c>
      <c r="S8" s="51">
        <v>26</v>
      </c>
      <c r="T8" s="38">
        <v>28</v>
      </c>
      <c r="U8" s="37">
        <v>29</v>
      </c>
      <c r="V8" s="51">
        <v>26</v>
      </c>
      <c r="W8" s="51">
        <v>19</v>
      </c>
      <c r="X8" s="38">
        <v>26</v>
      </c>
      <c r="Y8" s="37">
        <f>LARGE((Table6[[#This Row],[K1]:[Z4]]),1)</f>
        <v>35</v>
      </c>
      <c r="Z8" s="51">
        <f>LARGE((Table6[[#This Row],[K1]:[Z4]]),2)</f>
        <v>29</v>
      </c>
      <c r="AA8" s="51">
        <f>LARGE((Table6[[#This Row],[K1]:[Z4]]),3)</f>
        <v>29</v>
      </c>
      <c r="AB8" s="51">
        <f>LARGE((Table6[[#This Row],[K1]:[Z4]]),4)</f>
        <v>28</v>
      </c>
      <c r="AC8" s="51">
        <f>LARGE((Table6[[#This Row],[K1]:[Z4]]),5)</f>
        <v>26</v>
      </c>
      <c r="AD8" s="51">
        <f>LARGE((Table6[[#This Row],[K1]:[Z4]]),6)</f>
        <v>26</v>
      </c>
      <c r="AE8" s="51">
        <f>LARGE((Table6[[#This Row],[K1]:[Z4]]),7)</f>
        <v>26</v>
      </c>
      <c r="AF8" s="51">
        <f>LARGE((Table6[[#This Row],[K1]:[Z4]]),8)</f>
        <v>26</v>
      </c>
      <c r="AG8" s="51">
        <f>LARGE((Table6[[#This Row],[K1]:[Z4]]),9)</f>
        <v>25</v>
      </c>
      <c r="AH8" s="38">
        <f>LARGE((Table6[[#This Row],[K1]:[Z4]]),10)</f>
        <v>23</v>
      </c>
      <c r="AI8" s="45">
        <f t="shared" si="0"/>
        <v>273</v>
      </c>
      <c r="AJ8" s="37">
        <f t="shared" si="1"/>
        <v>285</v>
      </c>
      <c r="AK8" s="11"/>
    </row>
    <row r="9" spans="1:37" ht="14.4" customHeight="1" x14ac:dyDescent="0.3">
      <c r="A9" s="59">
        <v>6</v>
      </c>
      <c r="B9" s="51">
        <v>440</v>
      </c>
      <c r="C9" t="str">
        <f>_xlfn.XLOOKUP(B9,Sheet2!B:B,Sheet2!C:C)</f>
        <v>Munsanje Mukosa</v>
      </c>
      <c r="D9" s="52">
        <f>_xlfn.XLOOKUP(B9,Sheet2!B:B,Sheet2!G:G)</f>
        <v>44375</v>
      </c>
      <c r="E9" s="51" t="str">
        <f>_xlfn.XLOOKUP(B9,Sheet2!B:B,Sheet2!H:H)</f>
        <v>NR</v>
      </c>
      <c r="F9" s="30" t="str">
        <f>_xlfn.XLOOKUP(B9,Sheet2!B:B,Sheet2!D:D)</f>
        <v>FK</v>
      </c>
      <c r="G9" s="37">
        <v>3</v>
      </c>
      <c r="H9" s="51">
        <v>3</v>
      </c>
      <c r="I9" s="51">
        <v>3</v>
      </c>
      <c r="J9" s="51">
        <v>3</v>
      </c>
      <c r="K9" s="49">
        <f>SUM(Table6[[#This Row],[SARMC 1]:[SARMC 4]])</f>
        <v>12</v>
      </c>
      <c r="L9" s="37">
        <v>16</v>
      </c>
      <c r="M9" s="51">
        <v>27</v>
      </c>
      <c r="N9" s="38">
        <v>8</v>
      </c>
      <c r="O9" s="37">
        <v>18</v>
      </c>
      <c r="P9" s="51">
        <v>27</v>
      </c>
      <c r="Q9" s="38">
        <v>18</v>
      </c>
      <c r="R9" s="37">
        <v>28</v>
      </c>
      <c r="S9" s="51">
        <v>27</v>
      </c>
      <c r="T9" s="38">
        <v>24</v>
      </c>
      <c r="U9" s="37">
        <v>30</v>
      </c>
      <c r="V9" s="51">
        <v>30</v>
      </c>
      <c r="W9" s="51">
        <v>30</v>
      </c>
      <c r="X9" s="38">
        <v>30</v>
      </c>
      <c r="Y9" s="37">
        <f>LARGE((Table6[[#This Row],[K1]:[Z4]]),1)</f>
        <v>30</v>
      </c>
      <c r="Z9" s="51">
        <f>LARGE((Table6[[#This Row],[K1]:[Z4]]),2)</f>
        <v>30</v>
      </c>
      <c r="AA9" s="51">
        <f>LARGE((Table6[[#This Row],[K1]:[Z4]]),3)</f>
        <v>30</v>
      </c>
      <c r="AB9" s="51">
        <f>LARGE((Table6[[#This Row],[K1]:[Z4]]),4)</f>
        <v>30</v>
      </c>
      <c r="AC9" s="51">
        <f>LARGE((Table6[[#This Row],[K1]:[Z4]]),5)</f>
        <v>28</v>
      </c>
      <c r="AD9" s="51">
        <f>LARGE((Table6[[#This Row],[K1]:[Z4]]),6)</f>
        <v>27</v>
      </c>
      <c r="AE9" s="51">
        <f>LARGE((Table6[[#This Row],[K1]:[Z4]]),7)</f>
        <v>27</v>
      </c>
      <c r="AF9" s="51">
        <f>LARGE((Table6[[#This Row],[K1]:[Z4]]),8)</f>
        <v>27</v>
      </c>
      <c r="AG9" s="51">
        <f>LARGE((Table6[[#This Row],[K1]:[Z4]]),9)</f>
        <v>24</v>
      </c>
      <c r="AH9" s="38">
        <f>LARGE((Table6[[#This Row],[K1]:[Z4]]),10)</f>
        <v>18</v>
      </c>
      <c r="AI9" s="45">
        <f t="shared" si="0"/>
        <v>271</v>
      </c>
      <c r="AJ9" s="37">
        <f t="shared" si="1"/>
        <v>283</v>
      </c>
      <c r="AK9" s="11"/>
    </row>
    <row r="10" spans="1:37" ht="14.4" customHeight="1" x14ac:dyDescent="0.3">
      <c r="A10" s="59">
        <v>7</v>
      </c>
      <c r="B10" s="51">
        <v>463</v>
      </c>
      <c r="C10" t="str">
        <f>_xlfn.XLOOKUP(B10,Sheet2!B:B,Sheet2!C:C)</f>
        <v>Declan Jurgens</v>
      </c>
      <c r="D10" s="52">
        <f>_xlfn.XLOOKUP(B10,Sheet2!B:B,Sheet2!G:G)</f>
        <v>30986</v>
      </c>
      <c r="E10" s="51" t="str">
        <f>_xlfn.XLOOKUP(B10,Sheet2!B:B,Sheet2!H:H)</f>
        <v>NR</v>
      </c>
      <c r="F10" s="30" t="str">
        <f>_xlfn.XLOOKUP(B10,Sheet2!B:B,Sheet2!D:D)</f>
        <v>PAROLIN</v>
      </c>
      <c r="G10" s="37">
        <v>3</v>
      </c>
      <c r="H10" s="51">
        <v>3</v>
      </c>
      <c r="I10" s="51">
        <v>3</v>
      </c>
      <c r="J10" s="51">
        <v>3</v>
      </c>
      <c r="K10" s="49">
        <f>SUM(Table6[[#This Row],[SARMC 1]:[SARMC 4]])</f>
        <v>12</v>
      </c>
      <c r="L10" s="37">
        <v>27</v>
      </c>
      <c r="M10" s="51">
        <v>30</v>
      </c>
      <c r="N10" s="38">
        <v>32</v>
      </c>
      <c r="O10" s="37">
        <v>22</v>
      </c>
      <c r="P10" s="51">
        <v>24</v>
      </c>
      <c r="Q10" s="38">
        <v>30</v>
      </c>
      <c r="R10" s="37">
        <v>24</v>
      </c>
      <c r="S10" s="51">
        <v>25</v>
      </c>
      <c r="T10" s="38">
        <v>26</v>
      </c>
      <c r="U10" s="37">
        <v>24</v>
      </c>
      <c r="V10" s="51">
        <v>24</v>
      </c>
      <c r="W10" s="51">
        <v>22</v>
      </c>
      <c r="X10" s="38">
        <v>28</v>
      </c>
      <c r="Y10" s="37">
        <f>LARGE((Table6[[#This Row],[K1]:[Z4]]),1)</f>
        <v>32</v>
      </c>
      <c r="Z10" s="51">
        <f>LARGE((Table6[[#This Row],[K1]:[Z4]]),2)</f>
        <v>30</v>
      </c>
      <c r="AA10" s="51">
        <f>LARGE((Table6[[#This Row],[K1]:[Z4]]),3)</f>
        <v>30</v>
      </c>
      <c r="AB10" s="51">
        <f>LARGE((Table6[[#This Row],[K1]:[Z4]]),4)</f>
        <v>28</v>
      </c>
      <c r="AC10" s="51">
        <f>LARGE((Table6[[#This Row],[K1]:[Z4]]),5)</f>
        <v>27</v>
      </c>
      <c r="AD10" s="51">
        <f>LARGE((Table6[[#This Row],[K1]:[Z4]]),6)</f>
        <v>26</v>
      </c>
      <c r="AE10" s="51">
        <f>LARGE((Table6[[#This Row],[K1]:[Z4]]),7)</f>
        <v>25</v>
      </c>
      <c r="AF10" s="51">
        <f>LARGE((Table6[[#This Row],[K1]:[Z4]]),8)</f>
        <v>24</v>
      </c>
      <c r="AG10" s="51">
        <f>LARGE((Table6[[#This Row],[K1]:[Z4]]),9)</f>
        <v>24</v>
      </c>
      <c r="AH10" s="38">
        <f>LARGE((Table6[[#This Row],[K1]:[Z4]]),10)</f>
        <v>24</v>
      </c>
      <c r="AI10" s="45">
        <f t="shared" si="0"/>
        <v>270</v>
      </c>
      <c r="AJ10" s="37">
        <f t="shared" si="1"/>
        <v>282</v>
      </c>
      <c r="AK10" s="11"/>
    </row>
    <row r="11" spans="1:37" ht="14.4" customHeight="1" x14ac:dyDescent="0.3">
      <c r="A11" s="59">
        <v>8</v>
      </c>
      <c r="B11" s="51">
        <v>488</v>
      </c>
      <c r="C11" t="str">
        <f>_xlfn.XLOOKUP(B11,Sheet2!B:B,Sheet2!C:C)</f>
        <v>Ruvan Maritz</v>
      </c>
      <c r="D11" s="52">
        <f>_xlfn.XLOOKUP(B11,Sheet2!B:B,Sheet2!G:G)</f>
        <v>37587</v>
      </c>
      <c r="E11" s="51" t="str">
        <f>_xlfn.XLOOKUP(B11,Sheet2!B:B,Sheet2!H:H)</f>
        <v>NR</v>
      </c>
      <c r="F11" s="30" t="str">
        <f>_xlfn.XLOOKUP(B11,Sheet2!B:B,Sheet2!D:D)</f>
        <v>PAROLIN</v>
      </c>
      <c r="G11" s="37">
        <v>3</v>
      </c>
      <c r="H11" s="51">
        <v>3</v>
      </c>
      <c r="I11" s="51">
        <v>3</v>
      </c>
      <c r="J11" s="51">
        <v>3</v>
      </c>
      <c r="K11" s="49">
        <f>SUM(Table6[[#This Row],[SARMC 1]:[SARMC 4]])</f>
        <v>12</v>
      </c>
      <c r="L11" s="37">
        <v>19</v>
      </c>
      <c r="M11" s="51">
        <v>25</v>
      </c>
      <c r="N11" s="38">
        <v>26</v>
      </c>
      <c r="O11" s="37">
        <v>19</v>
      </c>
      <c r="P11" s="51">
        <v>35</v>
      </c>
      <c r="Q11" s="38">
        <v>27</v>
      </c>
      <c r="R11" s="37">
        <v>22</v>
      </c>
      <c r="S11" s="51">
        <v>35</v>
      </c>
      <c r="T11" s="38">
        <v>21</v>
      </c>
      <c r="U11" s="37">
        <v>26</v>
      </c>
      <c r="V11" s="51">
        <v>19</v>
      </c>
      <c r="W11" s="51">
        <v>28</v>
      </c>
      <c r="X11" s="38">
        <v>24</v>
      </c>
      <c r="Y11" s="37">
        <f>LARGE((Table6[[#This Row],[K1]:[Z4]]),1)</f>
        <v>35</v>
      </c>
      <c r="Z11" s="51">
        <f>LARGE((Table6[[#This Row],[K1]:[Z4]]),2)</f>
        <v>35</v>
      </c>
      <c r="AA11" s="51">
        <f>LARGE((Table6[[#This Row],[K1]:[Z4]]),3)</f>
        <v>28</v>
      </c>
      <c r="AB11" s="51">
        <f>LARGE((Table6[[#This Row],[K1]:[Z4]]),4)</f>
        <v>27</v>
      </c>
      <c r="AC11" s="51">
        <f>LARGE((Table6[[#This Row],[K1]:[Z4]]),5)</f>
        <v>26</v>
      </c>
      <c r="AD11" s="51">
        <f>LARGE((Table6[[#This Row],[K1]:[Z4]]),6)</f>
        <v>26</v>
      </c>
      <c r="AE11" s="51">
        <f>LARGE((Table6[[#This Row],[K1]:[Z4]]),7)</f>
        <v>25</v>
      </c>
      <c r="AF11" s="51">
        <f>LARGE((Table6[[#This Row],[K1]:[Z4]]),8)</f>
        <v>24</v>
      </c>
      <c r="AG11" s="51">
        <f>LARGE((Table6[[#This Row],[K1]:[Z4]]),9)</f>
        <v>22</v>
      </c>
      <c r="AH11" s="38">
        <f>LARGE((Table6[[#This Row],[K1]:[Z4]]),10)</f>
        <v>21</v>
      </c>
      <c r="AI11" s="45">
        <f t="shared" si="0"/>
        <v>269</v>
      </c>
      <c r="AJ11" s="37">
        <f t="shared" si="1"/>
        <v>281</v>
      </c>
      <c r="AK11" s="11"/>
    </row>
    <row r="12" spans="1:37" ht="14.4" customHeight="1" x14ac:dyDescent="0.3">
      <c r="A12" s="59">
        <v>9</v>
      </c>
      <c r="B12" s="51">
        <v>439</v>
      </c>
      <c r="C12" t="str">
        <f>_xlfn.XLOOKUP(B12,Sheet2!B:B,Sheet2!C:C)</f>
        <v>Cristian Verheul</v>
      </c>
      <c r="D12" s="52">
        <f>_xlfn.XLOOKUP(B12,Sheet2!B:B,Sheet2!G:G)</f>
        <v>19871</v>
      </c>
      <c r="E12" s="51" t="str">
        <f>_xlfn.XLOOKUP(B12,Sheet2!B:B,Sheet2!H:H)</f>
        <v>NR</v>
      </c>
      <c r="F12" s="30" t="str">
        <f>_xlfn.XLOOKUP(B12,Sheet2!B:B,Sheet2!D:D)</f>
        <v>CRG</v>
      </c>
      <c r="G12" s="37">
        <v>3</v>
      </c>
      <c r="H12" s="51">
        <v>3</v>
      </c>
      <c r="I12" s="51">
        <v>3</v>
      </c>
      <c r="J12" s="51">
        <v>3</v>
      </c>
      <c r="K12" s="49">
        <f>SUM(Table6[[#This Row],[SARMC 1]:[SARMC 4]])</f>
        <v>12</v>
      </c>
      <c r="L12" s="37">
        <v>32</v>
      </c>
      <c r="M12" s="51">
        <v>29</v>
      </c>
      <c r="N12" s="38">
        <v>14</v>
      </c>
      <c r="O12" s="37">
        <v>24</v>
      </c>
      <c r="P12" s="51">
        <v>21</v>
      </c>
      <c r="Q12" s="38">
        <v>25</v>
      </c>
      <c r="R12" s="37">
        <v>30</v>
      </c>
      <c r="S12" s="51">
        <v>21</v>
      </c>
      <c r="T12" s="38">
        <v>27</v>
      </c>
      <c r="U12" s="37">
        <v>28</v>
      </c>
      <c r="V12" s="51">
        <v>25</v>
      </c>
      <c r="W12" s="51">
        <v>25</v>
      </c>
      <c r="X12" s="38">
        <v>16</v>
      </c>
      <c r="Y12" s="37">
        <f>LARGE((Table6[[#This Row],[K1]:[Z4]]),1)</f>
        <v>32</v>
      </c>
      <c r="Z12" s="51">
        <f>LARGE((Table6[[#This Row],[K1]:[Z4]]),2)</f>
        <v>30</v>
      </c>
      <c r="AA12" s="51">
        <f>LARGE((Table6[[#This Row],[K1]:[Z4]]),3)</f>
        <v>29</v>
      </c>
      <c r="AB12" s="51">
        <f>LARGE((Table6[[#This Row],[K1]:[Z4]]),4)</f>
        <v>28</v>
      </c>
      <c r="AC12" s="51">
        <f>LARGE((Table6[[#This Row],[K1]:[Z4]]),5)</f>
        <v>27</v>
      </c>
      <c r="AD12" s="51">
        <f>LARGE((Table6[[#This Row],[K1]:[Z4]]),6)</f>
        <v>25</v>
      </c>
      <c r="AE12" s="51">
        <f>LARGE((Table6[[#This Row],[K1]:[Z4]]),7)</f>
        <v>25</v>
      </c>
      <c r="AF12" s="51">
        <f>LARGE((Table6[[#This Row],[K1]:[Z4]]),8)</f>
        <v>25</v>
      </c>
      <c r="AG12" s="51">
        <f>LARGE((Table6[[#This Row],[K1]:[Z4]]),9)</f>
        <v>24</v>
      </c>
      <c r="AH12" s="38">
        <f>LARGE((Table6[[#This Row],[K1]:[Z4]]),10)</f>
        <v>21</v>
      </c>
      <c r="AI12" s="45">
        <f t="shared" si="0"/>
        <v>266</v>
      </c>
      <c r="AJ12" s="37">
        <f t="shared" si="1"/>
        <v>278</v>
      </c>
      <c r="AK12" s="11"/>
    </row>
    <row r="13" spans="1:37" ht="14.4" customHeight="1" x14ac:dyDescent="0.3">
      <c r="A13" s="59">
        <v>10</v>
      </c>
      <c r="B13" s="51">
        <v>487</v>
      </c>
      <c r="C13" t="str">
        <f>_xlfn.XLOOKUP(B13,Sheet2!B:B,Sheet2!C:C)</f>
        <v>Retlotleng Thekiso</v>
      </c>
      <c r="D13" s="52">
        <f>_xlfn.XLOOKUP(B13,Sheet2!B:B,Sheet2!G:G)</f>
        <v>40654</v>
      </c>
      <c r="E13" s="51" t="str">
        <f>_xlfn.XLOOKUP(B13,Sheet2!B:B,Sheet2!H:H)</f>
        <v>NR</v>
      </c>
      <c r="F13" s="30" t="str">
        <f>_xlfn.XLOOKUP(B13,Sheet2!B:B,Sheet2!D:D)</f>
        <v>PAROLIN</v>
      </c>
      <c r="G13" s="37">
        <v>3</v>
      </c>
      <c r="H13" s="51">
        <v>3</v>
      </c>
      <c r="I13" s="51">
        <v>3</v>
      </c>
      <c r="J13" s="51">
        <v>0</v>
      </c>
      <c r="K13" s="49">
        <f>SUM(Table6[[#This Row],[SARMC 1]:[SARMC 4]])</f>
        <v>9</v>
      </c>
      <c r="L13" s="37">
        <v>25</v>
      </c>
      <c r="M13" s="51">
        <v>15</v>
      </c>
      <c r="N13" s="38">
        <v>19</v>
      </c>
      <c r="O13" s="37" t="s">
        <v>467</v>
      </c>
      <c r="P13" s="51">
        <v>28</v>
      </c>
      <c r="Q13" s="38">
        <v>32</v>
      </c>
      <c r="R13" s="37">
        <v>32</v>
      </c>
      <c r="S13" s="51">
        <v>29</v>
      </c>
      <c r="T13" s="38">
        <v>13</v>
      </c>
      <c r="U13" s="37">
        <v>21</v>
      </c>
      <c r="V13" s="51">
        <v>23</v>
      </c>
      <c r="W13" s="51">
        <v>24</v>
      </c>
      <c r="X13" s="38">
        <v>19</v>
      </c>
      <c r="Y13" s="37">
        <f>LARGE((Table6[[#This Row],[K1]:[Z4]]),1)</f>
        <v>32</v>
      </c>
      <c r="Z13" s="51">
        <f>LARGE((Table6[[#This Row],[K1]:[Z4]]),2)</f>
        <v>32</v>
      </c>
      <c r="AA13" s="51">
        <f>LARGE((Table6[[#This Row],[K1]:[Z4]]),3)</f>
        <v>29</v>
      </c>
      <c r="AB13" s="51">
        <f>LARGE((Table6[[#This Row],[K1]:[Z4]]),4)</f>
        <v>28</v>
      </c>
      <c r="AC13" s="51">
        <f>LARGE((Table6[[#This Row],[K1]:[Z4]]),5)</f>
        <v>25</v>
      </c>
      <c r="AD13" s="51">
        <f>LARGE((Table6[[#This Row],[K1]:[Z4]]),6)</f>
        <v>24</v>
      </c>
      <c r="AE13" s="51">
        <f>LARGE((Table6[[#This Row],[K1]:[Z4]]),7)</f>
        <v>23</v>
      </c>
      <c r="AF13" s="51">
        <f>LARGE((Table6[[#This Row],[K1]:[Z4]]),8)</f>
        <v>21</v>
      </c>
      <c r="AG13" s="51">
        <f>LARGE((Table6[[#This Row],[K1]:[Z4]]),9)</f>
        <v>19</v>
      </c>
      <c r="AH13" s="38">
        <f>LARGE((Table6[[#This Row],[K1]:[Z4]]),10)</f>
        <v>19</v>
      </c>
      <c r="AI13" s="45">
        <f t="shared" si="0"/>
        <v>252</v>
      </c>
      <c r="AJ13" s="37">
        <f t="shared" si="1"/>
        <v>261</v>
      </c>
      <c r="AK13" s="11"/>
    </row>
    <row r="14" spans="1:37" ht="14.4" customHeight="1" x14ac:dyDescent="0.3">
      <c r="A14" s="59">
        <v>11</v>
      </c>
      <c r="B14" s="51">
        <v>448</v>
      </c>
      <c r="C14" t="str">
        <f>_xlfn.XLOOKUP(B14,Sheet2!B:B,Sheet2!C:C)</f>
        <v>Kiyaan Reddi</v>
      </c>
      <c r="D14" s="52">
        <f>_xlfn.XLOOKUP(B14,Sheet2!B:B,Sheet2!G:G)</f>
        <v>37445</v>
      </c>
      <c r="E14" s="51" t="str">
        <f>_xlfn.XLOOKUP(B14,Sheet2!B:B,Sheet2!H:H)</f>
        <v>NR</v>
      </c>
      <c r="F14" s="30" t="s">
        <v>54</v>
      </c>
      <c r="G14" s="37">
        <v>3</v>
      </c>
      <c r="H14" s="51">
        <v>3</v>
      </c>
      <c r="I14" s="51">
        <v>3</v>
      </c>
      <c r="J14" s="51">
        <v>3</v>
      </c>
      <c r="K14" s="49">
        <f>SUM(Table6[[#This Row],[SARMC 1]:[SARMC 4]])</f>
        <v>12</v>
      </c>
      <c r="L14" s="37">
        <v>28</v>
      </c>
      <c r="M14" s="51">
        <v>32</v>
      </c>
      <c r="N14" s="38">
        <v>28</v>
      </c>
      <c r="O14" s="37">
        <v>20</v>
      </c>
      <c r="P14" s="51">
        <v>20</v>
      </c>
      <c r="Q14" s="38">
        <v>26</v>
      </c>
      <c r="R14" s="37">
        <v>21</v>
      </c>
      <c r="S14" s="51">
        <v>15</v>
      </c>
      <c r="T14" s="38">
        <v>2</v>
      </c>
      <c r="U14" s="68">
        <v>17</v>
      </c>
      <c r="V14" s="51">
        <v>21</v>
      </c>
      <c r="W14" s="51">
        <v>16</v>
      </c>
      <c r="X14" s="38">
        <v>18</v>
      </c>
      <c r="Y14" s="37">
        <f>LARGE((Table6[[#This Row],[K1]:[Z4]]),1)</f>
        <v>32</v>
      </c>
      <c r="Z14" s="51">
        <f>LARGE((Table6[[#This Row],[K1]:[Z4]]),2)</f>
        <v>28</v>
      </c>
      <c r="AA14" s="51">
        <f>LARGE((Table6[[#This Row],[K1]:[Z4]]),3)</f>
        <v>28</v>
      </c>
      <c r="AB14" s="51">
        <f>LARGE((Table6[[#This Row],[K1]:[Z4]]),4)</f>
        <v>26</v>
      </c>
      <c r="AC14" s="51">
        <f>LARGE((Table6[[#This Row],[K1]:[Z4]]),5)</f>
        <v>21</v>
      </c>
      <c r="AD14" s="51">
        <f>LARGE((Table6[[#This Row],[K1]:[Z4]]),6)</f>
        <v>21</v>
      </c>
      <c r="AE14" s="51">
        <f>LARGE((Table6[[#This Row],[K1]:[Z4]]),7)</f>
        <v>20</v>
      </c>
      <c r="AF14" s="51">
        <f>LARGE((Table6[[#This Row],[K1]:[Z4]]),8)</f>
        <v>20</v>
      </c>
      <c r="AG14" s="51">
        <f>LARGE((Table6[[#This Row],[K1]:[Z4]]),9)</f>
        <v>18</v>
      </c>
      <c r="AH14" s="38">
        <f>LARGE((Table6[[#This Row],[K1]:[Z4]]),10)</f>
        <v>17</v>
      </c>
      <c r="AI14" s="45">
        <f t="shared" si="0"/>
        <v>231</v>
      </c>
      <c r="AJ14" s="37">
        <f t="shared" si="1"/>
        <v>243</v>
      </c>
      <c r="AK14" s="11"/>
    </row>
    <row r="15" spans="1:37" ht="14.4" customHeight="1" x14ac:dyDescent="0.3">
      <c r="A15" s="59">
        <v>12</v>
      </c>
      <c r="B15" s="51">
        <v>453</v>
      </c>
      <c r="C15" t="str">
        <f>_xlfn.XLOOKUP(B15,Sheet2!B:B,Sheet2!C:C)</f>
        <v>Ty Naidoo</v>
      </c>
      <c r="D15" s="52">
        <f>_xlfn.XLOOKUP(B15,Sheet2!B:B,Sheet2!G:G)</f>
        <v>43446</v>
      </c>
      <c r="E15" s="51" t="str">
        <f>_xlfn.XLOOKUP(B15,Sheet2!B:B,Sheet2!H:H)</f>
        <v>NR</v>
      </c>
      <c r="F15" s="30" t="str">
        <f>_xlfn.XLOOKUP(B15,Sheet2!B:B,Sheet2!D:D)</f>
        <v>FK</v>
      </c>
      <c r="G15" s="37">
        <v>3</v>
      </c>
      <c r="H15" s="51">
        <v>3</v>
      </c>
      <c r="I15" s="51">
        <v>0</v>
      </c>
      <c r="J15" s="51">
        <v>0</v>
      </c>
      <c r="K15" s="49">
        <f>SUM(Table6[[#This Row],[SARMC 1]:[SARMC 4]])</f>
        <v>6</v>
      </c>
      <c r="L15" s="37">
        <v>21</v>
      </c>
      <c r="M15" s="51">
        <v>18</v>
      </c>
      <c r="N15" s="38">
        <v>24</v>
      </c>
      <c r="O15" s="37">
        <v>29</v>
      </c>
      <c r="P15" s="51">
        <v>23</v>
      </c>
      <c r="Q15" s="38">
        <v>15</v>
      </c>
      <c r="R15" s="37">
        <v>0</v>
      </c>
      <c r="S15" s="51">
        <v>0</v>
      </c>
      <c r="T15" s="38">
        <v>0</v>
      </c>
      <c r="U15" s="37">
        <v>22</v>
      </c>
      <c r="V15" s="51">
        <v>28</v>
      </c>
      <c r="W15" s="51">
        <v>27</v>
      </c>
      <c r="X15" s="38">
        <v>29</v>
      </c>
      <c r="Y15" s="37">
        <f>LARGE((Table6[[#This Row],[K1]:[Z4]]),1)</f>
        <v>29</v>
      </c>
      <c r="Z15" s="51">
        <f>LARGE((Table6[[#This Row],[K1]:[Z4]]),2)</f>
        <v>29</v>
      </c>
      <c r="AA15" s="51">
        <f>LARGE((Table6[[#This Row],[K1]:[Z4]]),3)</f>
        <v>28</v>
      </c>
      <c r="AB15" s="51">
        <f>LARGE((Table6[[#This Row],[K1]:[Z4]]),4)</f>
        <v>27</v>
      </c>
      <c r="AC15" s="51">
        <f>LARGE((Table6[[#This Row],[K1]:[Z4]]),5)</f>
        <v>24</v>
      </c>
      <c r="AD15" s="51">
        <f>LARGE((Table6[[#This Row],[K1]:[Z4]]),6)</f>
        <v>23</v>
      </c>
      <c r="AE15" s="51">
        <f>LARGE((Table6[[#This Row],[K1]:[Z4]]),7)</f>
        <v>22</v>
      </c>
      <c r="AF15" s="51">
        <f>LARGE((Table6[[#This Row],[K1]:[Z4]]),8)</f>
        <v>21</v>
      </c>
      <c r="AG15" s="51">
        <f>LARGE((Table6[[#This Row],[K1]:[Z4]]),9)</f>
        <v>18</v>
      </c>
      <c r="AH15" s="38">
        <f>LARGE((Table6[[#This Row],[K1]:[Z4]]),10)</f>
        <v>15</v>
      </c>
      <c r="AI15" s="45">
        <f t="shared" si="0"/>
        <v>236</v>
      </c>
      <c r="AJ15" s="37">
        <f t="shared" si="1"/>
        <v>242</v>
      </c>
      <c r="AK15" s="11"/>
    </row>
    <row r="16" spans="1:37" ht="14.4" customHeight="1" x14ac:dyDescent="0.3">
      <c r="A16" s="59">
        <v>13</v>
      </c>
      <c r="B16" s="51">
        <v>456</v>
      </c>
      <c r="C16" t="str">
        <f>_xlfn.XLOOKUP(B16,Sheet2!B:B,Sheet2!C:C)</f>
        <v>Jordan Klaasen</v>
      </c>
      <c r="D16" s="52">
        <f>_xlfn.XLOOKUP(B16,Sheet2!B:B,Sheet2!G:G)</f>
        <v>40378</v>
      </c>
      <c r="E16" s="51" t="str">
        <f>_xlfn.XLOOKUP(B16,Sheet2!B:B,Sheet2!H:H)</f>
        <v>NR</v>
      </c>
      <c r="F16" s="30" t="s">
        <v>448</v>
      </c>
      <c r="G16" s="37">
        <v>3</v>
      </c>
      <c r="H16" s="51">
        <v>2</v>
      </c>
      <c r="I16" s="51">
        <v>3</v>
      </c>
      <c r="J16" s="51">
        <v>3</v>
      </c>
      <c r="K16" s="49">
        <f>SUM(Table6[[#This Row],[SARMC 1]:[SARMC 4]])</f>
        <v>11</v>
      </c>
      <c r="L16" s="37">
        <v>17</v>
      </c>
      <c r="M16" s="51">
        <v>22</v>
      </c>
      <c r="N16" s="38">
        <v>15</v>
      </c>
      <c r="O16" s="37">
        <v>21</v>
      </c>
      <c r="P16" s="51">
        <v>8</v>
      </c>
      <c r="Q16" s="38">
        <v>17</v>
      </c>
      <c r="R16" s="37">
        <v>10</v>
      </c>
      <c r="S16" s="51">
        <v>23</v>
      </c>
      <c r="T16" s="38">
        <v>25</v>
      </c>
      <c r="U16" s="37">
        <v>20</v>
      </c>
      <c r="V16" s="51">
        <v>22</v>
      </c>
      <c r="W16" s="51">
        <v>21</v>
      </c>
      <c r="X16" s="38">
        <v>17</v>
      </c>
      <c r="Y16" s="37">
        <f>LARGE((Table6[[#This Row],[K1]:[Z4]]),1)</f>
        <v>25</v>
      </c>
      <c r="Z16" s="51">
        <f>LARGE((Table6[[#This Row],[K1]:[Z4]]),2)</f>
        <v>23</v>
      </c>
      <c r="AA16" s="51">
        <f>LARGE((Table6[[#This Row],[K1]:[Z4]]),3)</f>
        <v>22</v>
      </c>
      <c r="AB16" s="51">
        <f>LARGE((Table6[[#This Row],[K1]:[Z4]]),4)</f>
        <v>22</v>
      </c>
      <c r="AC16" s="51">
        <f>LARGE((Table6[[#This Row],[K1]:[Z4]]),5)</f>
        <v>21</v>
      </c>
      <c r="AD16" s="51">
        <f>LARGE((Table6[[#This Row],[K1]:[Z4]]),6)</f>
        <v>21</v>
      </c>
      <c r="AE16" s="51">
        <f>LARGE((Table6[[#This Row],[K1]:[Z4]]),7)</f>
        <v>20</v>
      </c>
      <c r="AF16" s="51">
        <f>LARGE((Table6[[#This Row],[K1]:[Z4]]),8)</f>
        <v>17</v>
      </c>
      <c r="AG16" s="51">
        <f>LARGE((Table6[[#This Row],[K1]:[Z4]]),9)</f>
        <v>17</v>
      </c>
      <c r="AH16" s="38">
        <f>LARGE((Table6[[#This Row],[K1]:[Z4]]),10)</f>
        <v>17</v>
      </c>
      <c r="AI16" s="45">
        <f t="shared" si="0"/>
        <v>205</v>
      </c>
      <c r="AJ16" s="37">
        <f t="shared" si="1"/>
        <v>216</v>
      </c>
      <c r="AK16" s="11"/>
    </row>
    <row r="17" spans="1:37" ht="14.4" customHeight="1" x14ac:dyDescent="0.3">
      <c r="A17" s="59">
        <v>14</v>
      </c>
      <c r="B17" s="51">
        <v>429</v>
      </c>
      <c r="C17" t="str">
        <f>_xlfn.XLOOKUP(B17,Sheet2!B:B,Sheet2!C:C)</f>
        <v>Matthew Naidoo</v>
      </c>
      <c r="D17" s="52">
        <f>_xlfn.XLOOKUP(B17,Sheet2!B:B,Sheet2!G:G)</f>
        <v>39732</v>
      </c>
      <c r="E17" s="51" t="str">
        <f>_xlfn.XLOOKUP(B17,Sheet2!B:B,Sheet2!H:H)</f>
        <v>NR</v>
      </c>
      <c r="F17" s="30" t="str">
        <f>_xlfn.XLOOKUP(B17,Sheet2!B:B,Sheet2!D:D)</f>
        <v>KR</v>
      </c>
      <c r="G17" s="37">
        <v>3</v>
      </c>
      <c r="H17" s="51">
        <v>3</v>
      </c>
      <c r="I17" s="51">
        <v>3</v>
      </c>
      <c r="J17" s="51">
        <v>3</v>
      </c>
      <c r="K17" s="49">
        <f>SUM(Table6[[#This Row],[SARMC 1]:[SARMC 4]])</f>
        <v>12</v>
      </c>
      <c r="L17" s="37">
        <v>24</v>
      </c>
      <c r="M17" s="51">
        <v>23</v>
      </c>
      <c r="N17" s="38">
        <v>27</v>
      </c>
      <c r="O17" s="37">
        <v>16</v>
      </c>
      <c r="P17" s="51">
        <v>17</v>
      </c>
      <c r="Q17" s="38">
        <v>9</v>
      </c>
      <c r="R17" s="37">
        <v>17</v>
      </c>
      <c r="S17" s="51">
        <v>18</v>
      </c>
      <c r="T17" s="38">
        <v>10</v>
      </c>
      <c r="U17" s="37">
        <v>12</v>
      </c>
      <c r="V17" s="51">
        <v>18</v>
      </c>
      <c r="W17" s="51">
        <v>20</v>
      </c>
      <c r="X17" s="38">
        <v>22</v>
      </c>
      <c r="Y17" s="37">
        <f>LARGE((Table6[[#This Row],[K1]:[Z4]]),1)</f>
        <v>27</v>
      </c>
      <c r="Z17" s="51">
        <f>LARGE((Table6[[#This Row],[K1]:[Z4]]),2)</f>
        <v>24</v>
      </c>
      <c r="AA17" s="51">
        <f>LARGE((Table6[[#This Row],[K1]:[Z4]]),3)</f>
        <v>23</v>
      </c>
      <c r="AB17" s="51">
        <f>LARGE((Table6[[#This Row],[K1]:[Z4]]),4)</f>
        <v>22</v>
      </c>
      <c r="AC17" s="51">
        <f>LARGE((Table6[[#This Row],[K1]:[Z4]]),5)</f>
        <v>20</v>
      </c>
      <c r="AD17" s="51">
        <f>LARGE((Table6[[#This Row],[K1]:[Z4]]),6)</f>
        <v>18</v>
      </c>
      <c r="AE17" s="51">
        <f>LARGE((Table6[[#This Row],[K1]:[Z4]]),7)</f>
        <v>18</v>
      </c>
      <c r="AF17" s="51">
        <f>LARGE((Table6[[#This Row],[K1]:[Z4]]),8)</f>
        <v>17</v>
      </c>
      <c r="AG17" s="51">
        <f>LARGE((Table6[[#This Row],[K1]:[Z4]]),9)</f>
        <v>17</v>
      </c>
      <c r="AH17" s="38">
        <f>LARGE((Table6[[#This Row],[K1]:[Z4]]),10)</f>
        <v>16</v>
      </c>
      <c r="AI17" s="45">
        <f t="shared" si="0"/>
        <v>202</v>
      </c>
      <c r="AJ17" s="37">
        <f t="shared" si="1"/>
        <v>214</v>
      </c>
      <c r="AK17" s="11"/>
    </row>
    <row r="18" spans="1:37" ht="14.4" customHeight="1" x14ac:dyDescent="0.3">
      <c r="A18" s="59">
        <v>15</v>
      </c>
      <c r="B18" s="51">
        <v>426</v>
      </c>
      <c r="C18" t="str">
        <f>_xlfn.XLOOKUP(B18,Sheet2!B:B,Sheet2!C:C)</f>
        <v>Ashaan Reddi</v>
      </c>
      <c r="D18" s="52">
        <f>_xlfn.XLOOKUP(B18,Sheet2!B:B,Sheet2!G:G)</f>
        <v>37470</v>
      </c>
      <c r="E18" s="51" t="str">
        <f>_xlfn.XLOOKUP(B18,Sheet2!B:B,Sheet2!H:H)</f>
        <v>NR</v>
      </c>
      <c r="F18" s="30" t="str">
        <f>_xlfn.XLOOKUP(B18,Sheet2!B:B,Sheet2!D:D)</f>
        <v>KR</v>
      </c>
      <c r="G18" s="37">
        <v>3</v>
      </c>
      <c r="H18" s="51">
        <v>3</v>
      </c>
      <c r="I18" s="51">
        <v>3</v>
      </c>
      <c r="J18" s="51">
        <v>3</v>
      </c>
      <c r="K18" s="49">
        <f>SUM(Table6[[#This Row],[SARMC 1]:[SARMC 4]])</f>
        <v>12</v>
      </c>
      <c r="L18" s="37">
        <v>20</v>
      </c>
      <c r="M18" s="51">
        <v>28</v>
      </c>
      <c r="N18" s="38">
        <v>23</v>
      </c>
      <c r="O18" s="37">
        <v>27</v>
      </c>
      <c r="P18" s="51">
        <v>22</v>
      </c>
      <c r="Q18" s="38">
        <v>22</v>
      </c>
      <c r="R18" s="37">
        <v>14</v>
      </c>
      <c r="S18" s="51">
        <v>11</v>
      </c>
      <c r="T18" s="38">
        <v>22</v>
      </c>
      <c r="U18" s="37">
        <v>0</v>
      </c>
      <c r="V18" s="51">
        <v>0</v>
      </c>
      <c r="W18" s="51">
        <v>0</v>
      </c>
      <c r="X18" s="38">
        <v>0</v>
      </c>
      <c r="Y18" s="37">
        <f>LARGE((Table6[[#This Row],[K1]:[Z4]]),1)</f>
        <v>28</v>
      </c>
      <c r="Z18" s="51">
        <f>LARGE((Table6[[#This Row],[K1]:[Z4]]),2)</f>
        <v>27</v>
      </c>
      <c r="AA18" s="51">
        <f>LARGE((Table6[[#This Row],[K1]:[Z4]]),3)</f>
        <v>23</v>
      </c>
      <c r="AB18" s="51">
        <f>LARGE((Table6[[#This Row],[K1]:[Z4]]),4)</f>
        <v>22</v>
      </c>
      <c r="AC18" s="51">
        <f>LARGE((Table6[[#This Row],[K1]:[Z4]]),5)</f>
        <v>22</v>
      </c>
      <c r="AD18" s="51">
        <f>LARGE((Table6[[#This Row],[K1]:[Z4]]),6)</f>
        <v>22</v>
      </c>
      <c r="AE18" s="51">
        <f>LARGE((Table6[[#This Row],[K1]:[Z4]]),7)</f>
        <v>20</v>
      </c>
      <c r="AF18" s="51">
        <f>LARGE((Table6[[#This Row],[K1]:[Z4]]),8)</f>
        <v>14</v>
      </c>
      <c r="AG18" s="51">
        <f>LARGE((Table6[[#This Row],[K1]:[Z4]]),9)</f>
        <v>11</v>
      </c>
      <c r="AH18" s="38">
        <f>LARGE((Table6[[#This Row],[K1]:[Z4]]),10)</f>
        <v>0</v>
      </c>
      <c r="AI18" s="45">
        <f t="shared" si="0"/>
        <v>189</v>
      </c>
      <c r="AJ18" s="37">
        <f t="shared" si="1"/>
        <v>201</v>
      </c>
      <c r="AK18" s="11"/>
    </row>
    <row r="19" spans="1:37" ht="14.4" customHeight="1" x14ac:dyDescent="0.3">
      <c r="A19" s="59">
        <v>16</v>
      </c>
      <c r="B19" s="51">
        <v>414</v>
      </c>
      <c r="C19" t="str">
        <f>_xlfn.XLOOKUP(B19,Sheet2!B:B,Sheet2!C:C)</f>
        <v>Matthew Kern</v>
      </c>
      <c r="D19" s="52">
        <f>_xlfn.XLOOKUP(B19,Sheet2!B:B,Sheet2!G:G)</f>
        <v>45904</v>
      </c>
      <c r="E19" s="51" t="str">
        <f>_xlfn.XLOOKUP(B19,Sheet2!B:B,Sheet2!H:H)</f>
        <v>NR</v>
      </c>
      <c r="F19" s="30" t="str">
        <f>_xlfn.XLOOKUP(B19,Sheet2!B:B,Sheet2!D:D)</f>
        <v>LNK</v>
      </c>
      <c r="G19" s="37">
        <v>3</v>
      </c>
      <c r="H19" s="51">
        <v>3</v>
      </c>
      <c r="I19" s="51">
        <v>3</v>
      </c>
      <c r="J19" s="51">
        <v>3</v>
      </c>
      <c r="K19" s="49">
        <f>SUM(Table6[[#This Row],[SARMC 1]:[SARMC 4]])</f>
        <v>12</v>
      </c>
      <c r="L19" s="37">
        <v>18</v>
      </c>
      <c r="M19" s="51">
        <v>16</v>
      </c>
      <c r="N19" s="38">
        <v>20</v>
      </c>
      <c r="O19" s="37">
        <v>0</v>
      </c>
      <c r="P19" s="51">
        <v>0</v>
      </c>
      <c r="Q19" s="38">
        <v>0</v>
      </c>
      <c r="R19" s="37">
        <v>11</v>
      </c>
      <c r="S19" s="51">
        <v>16</v>
      </c>
      <c r="T19" s="38">
        <v>9</v>
      </c>
      <c r="U19" s="37">
        <v>18</v>
      </c>
      <c r="V19" s="51">
        <v>16</v>
      </c>
      <c r="W19" s="51">
        <v>17</v>
      </c>
      <c r="X19" s="38">
        <v>23</v>
      </c>
      <c r="Y19" s="37">
        <f>LARGE((Table6[[#This Row],[K1]:[Z4]]),1)</f>
        <v>23</v>
      </c>
      <c r="Z19" s="51">
        <f>LARGE((Table6[[#This Row],[K1]:[Z4]]),2)</f>
        <v>20</v>
      </c>
      <c r="AA19" s="51">
        <f>LARGE((Table6[[#This Row],[K1]:[Z4]]),3)</f>
        <v>18</v>
      </c>
      <c r="AB19" s="51">
        <f>LARGE((Table6[[#This Row],[K1]:[Z4]]),4)</f>
        <v>18</v>
      </c>
      <c r="AC19" s="51">
        <f>LARGE((Table6[[#This Row],[K1]:[Z4]]),5)</f>
        <v>17</v>
      </c>
      <c r="AD19" s="51">
        <f>LARGE((Table6[[#This Row],[K1]:[Z4]]),6)</f>
        <v>16</v>
      </c>
      <c r="AE19" s="51">
        <f>LARGE((Table6[[#This Row],[K1]:[Z4]]),7)</f>
        <v>16</v>
      </c>
      <c r="AF19" s="51">
        <f>LARGE((Table6[[#This Row],[K1]:[Z4]]),8)</f>
        <v>16</v>
      </c>
      <c r="AG19" s="51">
        <f>LARGE((Table6[[#This Row],[K1]:[Z4]]),9)</f>
        <v>11</v>
      </c>
      <c r="AH19" s="38">
        <f>LARGE((Table6[[#This Row],[K1]:[Z4]]),10)</f>
        <v>9</v>
      </c>
      <c r="AI19" s="45">
        <f t="shared" si="0"/>
        <v>164</v>
      </c>
      <c r="AJ19" s="37">
        <f t="shared" si="1"/>
        <v>176</v>
      </c>
      <c r="AK19" s="11"/>
    </row>
    <row r="20" spans="1:37" ht="14.4" customHeight="1" x14ac:dyDescent="0.3">
      <c r="A20" s="59">
        <v>17</v>
      </c>
      <c r="B20" s="51">
        <v>450</v>
      </c>
      <c r="C20" t="str">
        <f>_xlfn.XLOOKUP(B20,Sheet2!B:B,Sheet2!C:C)</f>
        <v>Michael Arde</v>
      </c>
      <c r="D20" s="52">
        <v>38989</v>
      </c>
      <c r="E20" s="51" t="str">
        <f>_xlfn.XLOOKUP(B20,Sheet2!B:B,Sheet2!H:H)</f>
        <v>KZN</v>
      </c>
      <c r="F20" s="30" t="str">
        <f>_xlfn.XLOOKUP(B20,Sheet2!B:B,Sheet2!D:D)</f>
        <v>CRG</v>
      </c>
      <c r="G20" s="37">
        <v>0</v>
      </c>
      <c r="H20" s="51">
        <v>3</v>
      </c>
      <c r="I20" s="51">
        <v>3</v>
      </c>
      <c r="J20" s="51">
        <v>3</v>
      </c>
      <c r="K20" s="49">
        <f>SUM(Table6[[#This Row],[SARMC 1]:[SARMC 4]])</f>
        <v>9</v>
      </c>
      <c r="L20" s="37">
        <v>10</v>
      </c>
      <c r="M20" s="51">
        <v>20</v>
      </c>
      <c r="N20" s="38">
        <v>21</v>
      </c>
      <c r="O20" s="37">
        <v>9</v>
      </c>
      <c r="P20" s="51">
        <v>18</v>
      </c>
      <c r="Q20" s="38">
        <v>21</v>
      </c>
      <c r="R20" s="37">
        <v>27</v>
      </c>
      <c r="S20" s="51">
        <v>19</v>
      </c>
      <c r="T20" s="38">
        <v>20</v>
      </c>
      <c r="U20" s="37">
        <v>0</v>
      </c>
      <c r="V20" s="51">
        <v>0</v>
      </c>
      <c r="W20" s="51">
        <v>0</v>
      </c>
      <c r="X20" s="38">
        <v>0</v>
      </c>
      <c r="Y20" s="37">
        <f>LARGE((Table6[[#This Row],[K1]:[Z4]]),1)</f>
        <v>27</v>
      </c>
      <c r="Z20" s="51">
        <f>LARGE((Table6[[#This Row],[K1]:[Z4]]),2)</f>
        <v>21</v>
      </c>
      <c r="AA20" s="51">
        <f>LARGE((Table6[[#This Row],[K1]:[Z4]]),3)</f>
        <v>21</v>
      </c>
      <c r="AB20" s="51">
        <f>LARGE((Table6[[#This Row],[K1]:[Z4]]),4)</f>
        <v>20</v>
      </c>
      <c r="AC20" s="51">
        <f>LARGE((Table6[[#This Row],[K1]:[Z4]]),5)</f>
        <v>20</v>
      </c>
      <c r="AD20" s="51">
        <f>LARGE((Table6[[#This Row],[K1]:[Z4]]),6)</f>
        <v>19</v>
      </c>
      <c r="AE20" s="51">
        <f>LARGE((Table6[[#This Row],[K1]:[Z4]]),7)</f>
        <v>18</v>
      </c>
      <c r="AF20" s="51">
        <f>LARGE((Table6[[#This Row],[K1]:[Z4]]),8)</f>
        <v>10</v>
      </c>
      <c r="AG20" s="51">
        <f>LARGE((Table6[[#This Row],[K1]:[Z4]]),9)</f>
        <v>9</v>
      </c>
      <c r="AH20" s="38">
        <f>LARGE((Table6[[#This Row],[K1]:[Z4]]),10)</f>
        <v>0</v>
      </c>
      <c r="AI20" s="45">
        <f t="shared" si="0"/>
        <v>165</v>
      </c>
      <c r="AJ20" s="37">
        <f t="shared" si="1"/>
        <v>174</v>
      </c>
      <c r="AK20" s="11"/>
    </row>
    <row r="21" spans="1:37" ht="14.4" x14ac:dyDescent="0.3">
      <c r="A21" s="59">
        <v>18</v>
      </c>
      <c r="B21" s="51">
        <v>481</v>
      </c>
      <c r="C21" t="str">
        <f>_xlfn.XLOOKUP(B21,Sheet2!B:B,Sheet2!C:C)</f>
        <v>Liphelo Debedu</v>
      </c>
      <c r="D21" s="52">
        <f>_xlfn.XLOOKUP(B21,Sheet2!B:B,Sheet2!G:G)</f>
        <v>44911</v>
      </c>
      <c r="E21" s="51" t="str">
        <f>_xlfn.XLOOKUP(B21,Sheet2!B:B,Sheet2!H:H)</f>
        <v>NR</v>
      </c>
      <c r="F21" s="30" t="str">
        <f>_xlfn.XLOOKUP(B21,Sheet2!B:B,Sheet2!D:D)</f>
        <v>PRAGA</v>
      </c>
      <c r="G21" s="37">
        <v>3</v>
      </c>
      <c r="H21" s="51">
        <v>0</v>
      </c>
      <c r="I21" s="51">
        <v>3</v>
      </c>
      <c r="J21" s="51">
        <v>3</v>
      </c>
      <c r="K21" s="49">
        <f>SUM(Table6[[#This Row],[SARMC 1]:[SARMC 4]])</f>
        <v>9</v>
      </c>
      <c r="L21" s="37">
        <v>10</v>
      </c>
      <c r="M21" s="51">
        <v>8</v>
      </c>
      <c r="N21" s="38">
        <v>18</v>
      </c>
      <c r="O21" s="37">
        <v>14</v>
      </c>
      <c r="P21" s="51">
        <v>16</v>
      </c>
      <c r="Q21" s="38">
        <v>16</v>
      </c>
      <c r="R21" s="37">
        <v>1</v>
      </c>
      <c r="S21" s="51">
        <v>13</v>
      </c>
      <c r="T21" s="38">
        <v>2</v>
      </c>
      <c r="U21" s="37">
        <v>19</v>
      </c>
      <c r="V21" s="51">
        <v>17</v>
      </c>
      <c r="W21" s="51">
        <v>18</v>
      </c>
      <c r="X21" s="38">
        <v>20</v>
      </c>
      <c r="Y21" s="37">
        <f>LARGE((Table6[[#This Row],[K1]:[Z4]]),1)</f>
        <v>20</v>
      </c>
      <c r="Z21" s="51">
        <f>LARGE((Table6[[#This Row],[K1]:[Z4]]),2)</f>
        <v>19</v>
      </c>
      <c r="AA21" s="51">
        <f>LARGE((Table6[[#This Row],[K1]:[Z4]]),3)</f>
        <v>18</v>
      </c>
      <c r="AB21" s="51">
        <f>LARGE((Table6[[#This Row],[K1]:[Z4]]),4)</f>
        <v>18</v>
      </c>
      <c r="AC21" s="51">
        <f>LARGE((Table6[[#This Row],[K1]:[Z4]]),5)</f>
        <v>17</v>
      </c>
      <c r="AD21" s="51">
        <f>LARGE((Table6[[#This Row],[K1]:[Z4]]),6)</f>
        <v>16</v>
      </c>
      <c r="AE21" s="51">
        <f>LARGE((Table6[[#This Row],[K1]:[Z4]]),7)</f>
        <v>16</v>
      </c>
      <c r="AF21" s="51">
        <f>LARGE((Table6[[#This Row],[K1]:[Z4]]),8)</f>
        <v>14</v>
      </c>
      <c r="AG21" s="51">
        <f>LARGE((Table6[[#This Row],[K1]:[Z4]]),9)</f>
        <v>13</v>
      </c>
      <c r="AH21" s="38">
        <f>LARGE((Table6[[#This Row],[K1]:[Z4]]),10)</f>
        <v>10</v>
      </c>
      <c r="AI21" s="45">
        <f t="shared" si="0"/>
        <v>161</v>
      </c>
      <c r="AJ21" s="37">
        <f t="shared" si="1"/>
        <v>170</v>
      </c>
      <c r="AK21" s="11"/>
    </row>
    <row r="22" spans="1:37" ht="14.4" x14ac:dyDescent="0.3">
      <c r="A22" s="59">
        <v>19</v>
      </c>
      <c r="B22" s="51">
        <v>499</v>
      </c>
      <c r="C22" t="str">
        <f>_xlfn.XLOOKUP(B22,Sheet2!B:B,Sheet2!C:C)</f>
        <v>Christiaan Marais</v>
      </c>
      <c r="D22" s="52">
        <f>_xlfn.XLOOKUP(B22,Sheet2!B:B,Sheet2!G:G)</f>
        <v>44841</v>
      </c>
      <c r="E22" s="51" t="str">
        <f>_xlfn.XLOOKUP(B22,Sheet2!B:B,Sheet2!H:H)</f>
        <v>NR</v>
      </c>
      <c r="F22" s="30" t="s">
        <v>353</v>
      </c>
      <c r="G22" s="37">
        <v>1</v>
      </c>
      <c r="H22" s="51">
        <v>0</v>
      </c>
      <c r="I22" s="51">
        <v>3</v>
      </c>
      <c r="J22" s="51">
        <v>0</v>
      </c>
      <c r="K22" s="49">
        <f>SUM(Table6[[#This Row],[SARMC 1]:[SARMC 4]])</f>
        <v>4</v>
      </c>
      <c r="L22" s="37">
        <v>0</v>
      </c>
      <c r="M22" s="51">
        <v>0</v>
      </c>
      <c r="N22" s="38">
        <v>0</v>
      </c>
      <c r="O22" s="37">
        <v>0</v>
      </c>
      <c r="P22" s="51">
        <v>0</v>
      </c>
      <c r="Q22" s="38">
        <v>0</v>
      </c>
      <c r="R22" s="37">
        <v>20</v>
      </c>
      <c r="S22" s="51">
        <v>14</v>
      </c>
      <c r="T22" s="38">
        <v>11</v>
      </c>
      <c r="U22" s="37">
        <v>23</v>
      </c>
      <c r="V22" s="51">
        <v>29</v>
      </c>
      <c r="W22" s="51">
        <v>23</v>
      </c>
      <c r="X22" s="38">
        <v>25</v>
      </c>
      <c r="Y22" s="37">
        <f>LARGE((Table6[[#This Row],[K1]:[Z4]]),1)</f>
        <v>29</v>
      </c>
      <c r="Z22" s="51">
        <f>LARGE((Table6[[#This Row],[K1]:[Z4]]),2)</f>
        <v>25</v>
      </c>
      <c r="AA22" s="51">
        <f>LARGE((Table6[[#This Row],[K1]:[Z4]]),3)</f>
        <v>23</v>
      </c>
      <c r="AB22" s="51">
        <f>LARGE((Table6[[#This Row],[K1]:[Z4]]),4)</f>
        <v>23</v>
      </c>
      <c r="AC22" s="51">
        <f>LARGE((Table6[[#This Row],[K1]:[Z4]]),5)</f>
        <v>20</v>
      </c>
      <c r="AD22" s="51">
        <f>LARGE((Table6[[#This Row],[K1]:[Z4]]),6)</f>
        <v>14</v>
      </c>
      <c r="AE22" s="51">
        <f>LARGE((Table6[[#This Row],[K1]:[Z4]]),7)</f>
        <v>11</v>
      </c>
      <c r="AF22" s="51">
        <f>LARGE((Table6[[#This Row],[K1]:[Z4]]),8)</f>
        <v>0</v>
      </c>
      <c r="AG22" s="51">
        <f>LARGE((Table6[[#This Row],[K1]:[Z4]]),9)</f>
        <v>0</v>
      </c>
      <c r="AH22" s="38">
        <f>LARGE((Table6[[#This Row],[K1]:[Z4]]),10)</f>
        <v>0</v>
      </c>
      <c r="AI22" s="45">
        <f t="shared" si="0"/>
        <v>145</v>
      </c>
      <c r="AJ22" s="37">
        <f t="shared" si="1"/>
        <v>149</v>
      </c>
      <c r="AK22" s="11"/>
    </row>
    <row r="23" spans="1:37" ht="14.4" x14ac:dyDescent="0.3">
      <c r="A23" s="59">
        <v>20</v>
      </c>
      <c r="B23" s="51">
        <v>415</v>
      </c>
      <c r="C23" t="str">
        <f>_xlfn.XLOOKUP(B23,Sheet2!B:B,Sheet2!C:C)</f>
        <v>Michael Danks</v>
      </c>
      <c r="D23" s="52">
        <f>_xlfn.XLOOKUP(B23,Sheet2!B:B,Sheet2!G:G)</f>
        <v>23972</v>
      </c>
      <c r="E23" s="51" t="str">
        <f>_xlfn.XLOOKUP(B23,Sheet2!B:B,Sheet2!H:H)</f>
        <v>WP</v>
      </c>
      <c r="F23" s="30" t="str">
        <f>_xlfn.XLOOKUP(B23,Sheet2!B:B,Sheet2!D:D)</f>
        <v>SODI</v>
      </c>
      <c r="G23" s="37">
        <v>3</v>
      </c>
      <c r="H23" s="51">
        <v>3</v>
      </c>
      <c r="I23" s="51">
        <v>3</v>
      </c>
      <c r="J23" s="51">
        <v>3</v>
      </c>
      <c r="K23" s="49">
        <f>SUM(Table6[[#This Row],[SARMC 1]:[SARMC 4]])</f>
        <v>12</v>
      </c>
      <c r="L23" s="37">
        <v>10</v>
      </c>
      <c r="M23" s="51">
        <v>17</v>
      </c>
      <c r="N23" s="38">
        <v>17</v>
      </c>
      <c r="O23" s="37">
        <v>17</v>
      </c>
      <c r="P23" s="51">
        <v>14</v>
      </c>
      <c r="Q23" s="38">
        <v>14</v>
      </c>
      <c r="R23" s="37">
        <v>13</v>
      </c>
      <c r="S23" s="51">
        <v>12</v>
      </c>
      <c r="T23" s="38">
        <v>14</v>
      </c>
      <c r="U23" s="37">
        <v>0</v>
      </c>
      <c r="V23" s="51">
        <v>0</v>
      </c>
      <c r="W23" s="51">
        <v>0</v>
      </c>
      <c r="X23" s="38">
        <v>0</v>
      </c>
      <c r="Y23" s="37">
        <f>LARGE((Table6[[#This Row],[K1]:[Z4]]),1)</f>
        <v>17</v>
      </c>
      <c r="Z23" s="51">
        <f>LARGE((Table6[[#This Row],[K1]:[Z4]]),2)</f>
        <v>17</v>
      </c>
      <c r="AA23" s="51">
        <f>LARGE((Table6[[#This Row],[K1]:[Z4]]),3)</f>
        <v>17</v>
      </c>
      <c r="AB23" s="51">
        <f>LARGE((Table6[[#This Row],[K1]:[Z4]]),4)</f>
        <v>14</v>
      </c>
      <c r="AC23" s="51">
        <f>LARGE((Table6[[#This Row],[K1]:[Z4]]),5)</f>
        <v>14</v>
      </c>
      <c r="AD23" s="51">
        <f>LARGE((Table6[[#This Row],[K1]:[Z4]]),6)</f>
        <v>14</v>
      </c>
      <c r="AE23" s="51">
        <f>LARGE((Table6[[#This Row],[K1]:[Z4]]),7)</f>
        <v>13</v>
      </c>
      <c r="AF23" s="51">
        <f>LARGE((Table6[[#This Row],[K1]:[Z4]]),8)</f>
        <v>12</v>
      </c>
      <c r="AG23" s="51">
        <f>LARGE((Table6[[#This Row],[K1]:[Z4]]),9)</f>
        <v>10</v>
      </c>
      <c r="AH23" s="38">
        <f>LARGE((Table6[[#This Row],[K1]:[Z4]]),10)</f>
        <v>0</v>
      </c>
      <c r="AI23" s="45">
        <f t="shared" si="0"/>
        <v>128</v>
      </c>
      <c r="AJ23" s="37">
        <f t="shared" si="1"/>
        <v>140</v>
      </c>
      <c r="AK23" s="11"/>
    </row>
    <row r="24" spans="1:37" ht="14.4" x14ac:dyDescent="0.3">
      <c r="A24" s="59">
        <v>21</v>
      </c>
      <c r="B24" s="51">
        <v>443</v>
      </c>
      <c r="C24" t="str">
        <f>_xlfn.XLOOKUP(B24,Sheet2!B:B,Sheet2!C:C)</f>
        <v>Zuan Breytenbach</v>
      </c>
      <c r="D24" s="52">
        <f>_xlfn.XLOOKUP(B24,Sheet2!B:B,Sheet2!G:G)</f>
        <v>43979</v>
      </c>
      <c r="E24" s="51" t="str">
        <f>_xlfn.XLOOKUP(B24,Sheet2!B:B,Sheet2!H:H)</f>
        <v>NR</v>
      </c>
      <c r="F24" s="30" t="str">
        <f>_xlfn.XLOOKUP(B24,Sheet2!B:B,Sheet2!D:D)</f>
        <v>KR</v>
      </c>
      <c r="G24" s="37">
        <v>0</v>
      </c>
      <c r="H24" s="51">
        <v>3</v>
      </c>
      <c r="I24" s="51">
        <v>3</v>
      </c>
      <c r="J24" s="51">
        <v>3</v>
      </c>
      <c r="K24" s="49">
        <f>SUM(Table6[[#This Row],[SARMC 1]:[SARMC 4]])</f>
        <v>9</v>
      </c>
      <c r="L24" s="37">
        <v>0</v>
      </c>
      <c r="M24" s="51">
        <v>0</v>
      </c>
      <c r="N24" s="38">
        <v>0</v>
      </c>
      <c r="O24" s="37">
        <v>26</v>
      </c>
      <c r="P24" s="51">
        <v>15</v>
      </c>
      <c r="Q24" s="38">
        <v>19</v>
      </c>
      <c r="R24" s="37">
        <v>19</v>
      </c>
      <c r="S24" s="51">
        <v>10</v>
      </c>
      <c r="T24" s="38">
        <v>15</v>
      </c>
      <c r="U24" s="37">
        <v>0</v>
      </c>
      <c r="V24" s="51">
        <v>0</v>
      </c>
      <c r="W24" s="51">
        <v>0</v>
      </c>
      <c r="X24" s="38">
        <v>0</v>
      </c>
      <c r="Y24" s="37">
        <f>LARGE((Table6[[#This Row],[K1]:[Z4]]),1)</f>
        <v>26</v>
      </c>
      <c r="Z24" s="51">
        <f>LARGE((Table6[[#This Row],[K1]:[Z4]]),2)</f>
        <v>19</v>
      </c>
      <c r="AA24" s="51">
        <f>LARGE((Table6[[#This Row],[K1]:[Z4]]),3)</f>
        <v>19</v>
      </c>
      <c r="AB24" s="51">
        <f>LARGE((Table6[[#This Row],[K1]:[Z4]]),4)</f>
        <v>15</v>
      </c>
      <c r="AC24" s="51">
        <f>LARGE((Table6[[#This Row],[K1]:[Z4]]),5)</f>
        <v>15</v>
      </c>
      <c r="AD24" s="51">
        <f>LARGE((Table6[[#This Row],[K1]:[Z4]]),6)</f>
        <v>10</v>
      </c>
      <c r="AE24" s="51">
        <f>LARGE((Table6[[#This Row],[K1]:[Z4]]),7)</f>
        <v>0</v>
      </c>
      <c r="AF24" s="51">
        <f>LARGE((Table6[[#This Row],[K1]:[Z4]]),8)</f>
        <v>0</v>
      </c>
      <c r="AG24" s="51">
        <f>LARGE((Table6[[#This Row],[K1]:[Z4]]),9)</f>
        <v>0</v>
      </c>
      <c r="AH24" s="38">
        <f>LARGE((Table6[[#This Row],[K1]:[Z4]]),10)</f>
        <v>0</v>
      </c>
      <c r="AI24" s="45">
        <f t="shared" si="0"/>
        <v>104</v>
      </c>
      <c r="AJ24" s="37">
        <f t="shared" si="1"/>
        <v>113</v>
      </c>
      <c r="AK24" s="11"/>
    </row>
    <row r="25" spans="1:37" ht="14.4" x14ac:dyDescent="0.3">
      <c r="A25" s="59">
        <v>22</v>
      </c>
      <c r="B25" s="51">
        <v>433</v>
      </c>
      <c r="C25" t="str">
        <f>_xlfn.XLOOKUP(B25,Sheet2!B:B,Sheet2!C:C)</f>
        <v>Max Boshoff</v>
      </c>
      <c r="D25" s="52">
        <f>_xlfn.XLOOKUP(B25,Sheet2!B:B,Sheet2!G:G)</f>
        <v>31243</v>
      </c>
      <c r="E25" s="51" t="str">
        <f>_xlfn.XLOOKUP(B25,Sheet2!B:B,Sheet2!H:H)</f>
        <v>WP</v>
      </c>
      <c r="F25" s="30" t="str">
        <f>_xlfn.XLOOKUP(B25,Sheet2!B:B,Sheet2!D:D)</f>
        <v>CRG</v>
      </c>
      <c r="G25" s="37">
        <v>3</v>
      </c>
      <c r="H25" s="51">
        <v>0</v>
      </c>
      <c r="I25" s="51">
        <v>3</v>
      </c>
      <c r="J25" s="51">
        <v>3</v>
      </c>
      <c r="K25" s="49">
        <f>SUM(Table6[[#This Row],[SARMC 1]:[SARMC 4]])</f>
        <v>9</v>
      </c>
      <c r="L25" s="37">
        <v>0</v>
      </c>
      <c r="M25" s="51">
        <v>0</v>
      </c>
      <c r="N25" s="38">
        <v>0</v>
      </c>
      <c r="O25" s="37">
        <v>0</v>
      </c>
      <c r="P25" s="51">
        <v>0</v>
      </c>
      <c r="Q25" s="38">
        <v>0</v>
      </c>
      <c r="R25" s="37">
        <v>35</v>
      </c>
      <c r="S25" s="51">
        <v>24</v>
      </c>
      <c r="T25" s="38">
        <v>29</v>
      </c>
      <c r="U25" s="37">
        <v>0</v>
      </c>
      <c r="V25" s="51">
        <v>0</v>
      </c>
      <c r="W25" s="51">
        <v>0</v>
      </c>
      <c r="X25" s="38">
        <v>0</v>
      </c>
      <c r="Y25" s="37">
        <f>LARGE((Table6[[#This Row],[K1]:[Z4]]),1)</f>
        <v>35</v>
      </c>
      <c r="Z25" s="51">
        <f>LARGE((Table6[[#This Row],[K1]:[Z4]]),2)</f>
        <v>29</v>
      </c>
      <c r="AA25" s="51">
        <f>LARGE((Table6[[#This Row],[K1]:[Z4]]),3)</f>
        <v>24</v>
      </c>
      <c r="AB25" s="51">
        <f>LARGE((Table6[[#This Row],[K1]:[Z4]]),4)</f>
        <v>0</v>
      </c>
      <c r="AC25" s="51">
        <f>LARGE((Table6[[#This Row],[K1]:[Z4]]),5)</f>
        <v>0</v>
      </c>
      <c r="AD25" s="51">
        <f>LARGE((Table6[[#This Row],[K1]:[Z4]]),6)</f>
        <v>0</v>
      </c>
      <c r="AE25" s="51">
        <f>LARGE((Table6[[#This Row],[K1]:[Z4]]),7)</f>
        <v>0</v>
      </c>
      <c r="AF25" s="51">
        <f>LARGE((Table6[[#This Row],[K1]:[Z4]]),8)</f>
        <v>0</v>
      </c>
      <c r="AG25" s="51">
        <f>LARGE((Table6[[#This Row],[K1]:[Z4]]),9)</f>
        <v>0</v>
      </c>
      <c r="AH25" s="38">
        <f>LARGE((Table6[[#This Row],[K1]:[Z4]]),10)</f>
        <v>0</v>
      </c>
      <c r="AI25" s="45">
        <f t="shared" si="0"/>
        <v>88</v>
      </c>
      <c r="AJ25" s="37">
        <f t="shared" si="1"/>
        <v>97</v>
      </c>
      <c r="AK25" s="11"/>
    </row>
    <row r="26" spans="1:37" ht="14.4" x14ac:dyDescent="0.3">
      <c r="A26" s="59">
        <v>23</v>
      </c>
      <c r="B26" s="51">
        <v>416</v>
      </c>
      <c r="C26" t="str">
        <f>_xlfn.XLOOKUP(B26,Sheet2!B:B,Sheet2!C:C)</f>
        <v>Aleksandar Praizovic</v>
      </c>
      <c r="D26" s="52">
        <f>_xlfn.XLOOKUP(B26,Sheet2!B:B,Sheet2!G:G)</f>
        <v>37414</v>
      </c>
      <c r="E26" s="51" t="str">
        <f>_xlfn.XLOOKUP(B26,Sheet2!B:B,Sheet2!H:H)</f>
        <v>WP</v>
      </c>
      <c r="F26" s="30" t="str">
        <f>_xlfn.XLOOKUP(B26,Sheet2!B:B,Sheet2!D:D)</f>
        <v>TONY</v>
      </c>
      <c r="G26" s="37">
        <v>0</v>
      </c>
      <c r="H26" s="51">
        <v>0</v>
      </c>
      <c r="I26" s="51">
        <v>0</v>
      </c>
      <c r="J26" s="51">
        <v>0</v>
      </c>
      <c r="K26" s="49">
        <f>SUM(Table6[[#This Row],[SARMC 1]:[SARMC 4]])</f>
        <v>0</v>
      </c>
      <c r="L26" s="37">
        <v>30</v>
      </c>
      <c r="M26" s="51">
        <v>35</v>
      </c>
      <c r="N26" s="38">
        <v>30</v>
      </c>
      <c r="O26" s="37">
        <v>0</v>
      </c>
      <c r="P26" s="51">
        <v>0</v>
      </c>
      <c r="Q26" s="38">
        <v>0</v>
      </c>
      <c r="R26" s="37">
        <v>0</v>
      </c>
      <c r="S26" s="51">
        <v>0</v>
      </c>
      <c r="T26" s="38">
        <v>0</v>
      </c>
      <c r="U26" s="37">
        <v>0</v>
      </c>
      <c r="V26" s="51">
        <v>0</v>
      </c>
      <c r="W26" s="51">
        <v>0</v>
      </c>
      <c r="X26" s="38">
        <v>0</v>
      </c>
      <c r="Y26" s="37">
        <f>LARGE((Table6[[#This Row],[K1]:[Z4]]),1)</f>
        <v>35</v>
      </c>
      <c r="Z26" s="51">
        <f>LARGE((Table6[[#This Row],[K1]:[Z4]]),2)</f>
        <v>30</v>
      </c>
      <c r="AA26" s="51">
        <f>LARGE((Table6[[#This Row],[K1]:[Z4]]),3)</f>
        <v>30</v>
      </c>
      <c r="AB26" s="51">
        <f>LARGE((Table6[[#This Row],[K1]:[Z4]]),4)</f>
        <v>0</v>
      </c>
      <c r="AC26" s="51">
        <f>LARGE((Table6[[#This Row],[K1]:[Z4]]),5)</f>
        <v>0</v>
      </c>
      <c r="AD26" s="51">
        <f>LARGE((Table6[[#This Row],[K1]:[Z4]]),6)</f>
        <v>0</v>
      </c>
      <c r="AE26" s="51">
        <f>LARGE((Table6[[#This Row],[K1]:[Z4]]),7)</f>
        <v>0</v>
      </c>
      <c r="AF26" s="51">
        <f>LARGE((Table6[[#This Row],[K1]:[Z4]]),8)</f>
        <v>0</v>
      </c>
      <c r="AG26" s="51">
        <f>LARGE((Table6[[#This Row],[K1]:[Z4]]),9)</f>
        <v>0</v>
      </c>
      <c r="AH26" s="38">
        <f>LARGE((Table6[[#This Row],[K1]:[Z4]]),10)</f>
        <v>0</v>
      </c>
      <c r="AI26" s="45">
        <f t="shared" si="0"/>
        <v>95</v>
      </c>
      <c r="AJ26" s="37">
        <f t="shared" si="1"/>
        <v>95</v>
      </c>
      <c r="AK26" s="11"/>
    </row>
    <row r="27" spans="1:37" ht="14.4" x14ac:dyDescent="0.3">
      <c r="A27" s="59">
        <v>24</v>
      </c>
      <c r="B27" s="51">
        <v>412</v>
      </c>
      <c r="C27" t="str">
        <f>_xlfn.XLOOKUP(B27,Sheet2!B:B,Sheet2!C:C)</f>
        <v>Matthew Shuttleworth</v>
      </c>
      <c r="D27" s="52">
        <f>_xlfn.XLOOKUP(B27,Sheet2!B:B,Sheet2!G:G)</f>
        <v>20828</v>
      </c>
      <c r="E27" s="51" t="str">
        <f>_xlfn.XLOOKUP(B27,Sheet2!B:B,Sheet2!H:H)</f>
        <v>NR</v>
      </c>
      <c r="F27" s="30" t="str">
        <f>_xlfn.XLOOKUP(B27,Sheet2!B:B,Sheet2!D:D)</f>
        <v>LNK</v>
      </c>
      <c r="G27" s="37">
        <v>3</v>
      </c>
      <c r="H27" s="51">
        <v>3</v>
      </c>
      <c r="I27" s="51">
        <v>0</v>
      </c>
      <c r="J27" s="51">
        <v>0</v>
      </c>
      <c r="K27" s="49">
        <f>SUM(Table6[[#This Row],[SARMC 1]:[SARMC 4]])</f>
        <v>6</v>
      </c>
      <c r="L27" s="37">
        <v>0</v>
      </c>
      <c r="M27" s="51">
        <v>0</v>
      </c>
      <c r="N27" s="38">
        <v>0</v>
      </c>
      <c r="O27" s="37">
        <v>32</v>
      </c>
      <c r="P27" s="51">
        <v>26</v>
      </c>
      <c r="Q27" s="38">
        <v>9</v>
      </c>
      <c r="R27" s="37">
        <v>0</v>
      </c>
      <c r="S27" s="51">
        <v>0</v>
      </c>
      <c r="T27" s="38">
        <v>0</v>
      </c>
      <c r="U27" s="37">
        <v>0</v>
      </c>
      <c r="V27" s="51">
        <v>0</v>
      </c>
      <c r="W27" s="51">
        <v>0</v>
      </c>
      <c r="X27" s="38">
        <v>0</v>
      </c>
      <c r="Y27" s="37">
        <f>LARGE((Table6[[#This Row],[K1]:[Z4]]),1)</f>
        <v>32</v>
      </c>
      <c r="Z27" s="51">
        <f>LARGE((Table6[[#This Row],[K1]:[Z4]]),2)</f>
        <v>26</v>
      </c>
      <c r="AA27" s="51">
        <f>LARGE((Table6[[#This Row],[K1]:[Z4]]),3)</f>
        <v>9</v>
      </c>
      <c r="AB27" s="51">
        <f>LARGE((Table6[[#This Row],[K1]:[Z4]]),4)</f>
        <v>0</v>
      </c>
      <c r="AC27" s="51">
        <f>LARGE((Table6[[#This Row],[K1]:[Z4]]),5)</f>
        <v>0</v>
      </c>
      <c r="AD27" s="51">
        <f>LARGE((Table6[[#This Row],[K1]:[Z4]]),6)</f>
        <v>0</v>
      </c>
      <c r="AE27" s="51">
        <f>LARGE((Table6[[#This Row],[K1]:[Z4]]),7)</f>
        <v>0</v>
      </c>
      <c r="AF27" s="51">
        <f>LARGE((Table6[[#This Row],[K1]:[Z4]]),8)</f>
        <v>0</v>
      </c>
      <c r="AG27" s="51">
        <f>LARGE((Table6[[#This Row],[K1]:[Z4]]),9)</f>
        <v>0</v>
      </c>
      <c r="AH27" s="38">
        <f>LARGE((Table6[[#This Row],[K1]:[Z4]]),10)</f>
        <v>0</v>
      </c>
      <c r="AI27" s="45">
        <f t="shared" si="0"/>
        <v>67</v>
      </c>
      <c r="AJ27" s="37">
        <f t="shared" si="1"/>
        <v>73</v>
      </c>
      <c r="AK27" s="11"/>
    </row>
    <row r="28" spans="1:37" ht="14.4" customHeight="1" x14ac:dyDescent="0.3">
      <c r="A28" s="59">
        <v>25</v>
      </c>
      <c r="B28" s="51">
        <v>480</v>
      </c>
      <c r="C28" t="str">
        <f>_xlfn.XLOOKUP(B28,Sheet2!B:B,Sheet2!C:C)</f>
        <v>Matteo Saladino</v>
      </c>
      <c r="D28" s="52">
        <f>_xlfn.XLOOKUP(B28,Sheet2!B:B,Sheet2!G:G)</f>
        <v>41729</v>
      </c>
      <c r="E28" s="51" t="str">
        <f>_xlfn.XLOOKUP(B28,Sheet2!B:B,Sheet2!H:H)</f>
        <v>NR</v>
      </c>
      <c r="F28" s="30" t="str">
        <f>_xlfn.XLOOKUP(B28,Sheet2!B:B,Sheet2!D:D)</f>
        <v>LNK</v>
      </c>
      <c r="G28" s="37">
        <v>2</v>
      </c>
      <c r="H28" s="51">
        <v>3</v>
      </c>
      <c r="I28" s="51">
        <v>3</v>
      </c>
      <c r="J28" s="51">
        <v>3</v>
      </c>
      <c r="K28" s="49">
        <f>SUM(Table6[[#This Row],[SARMC 1]:[SARMC 4]])</f>
        <v>11</v>
      </c>
      <c r="L28" s="37">
        <v>0</v>
      </c>
      <c r="M28" s="51">
        <v>0</v>
      </c>
      <c r="N28" s="38">
        <v>0</v>
      </c>
      <c r="O28" s="37">
        <v>0</v>
      </c>
      <c r="P28" s="51">
        <v>0</v>
      </c>
      <c r="Q28" s="38">
        <v>0</v>
      </c>
      <c r="R28" s="37">
        <v>12</v>
      </c>
      <c r="S28" s="51">
        <v>20</v>
      </c>
      <c r="T28" s="38">
        <v>23</v>
      </c>
      <c r="U28" s="37">
        <v>0</v>
      </c>
      <c r="V28" s="51">
        <v>0</v>
      </c>
      <c r="W28" s="51">
        <v>0</v>
      </c>
      <c r="X28" s="38">
        <v>0</v>
      </c>
      <c r="Y28" s="37">
        <f>LARGE((Table6[[#This Row],[K1]:[Z4]]),1)</f>
        <v>23</v>
      </c>
      <c r="Z28" s="51">
        <f>LARGE((Table6[[#This Row],[K1]:[Z4]]),2)</f>
        <v>20</v>
      </c>
      <c r="AA28" s="51">
        <f>LARGE((Table6[[#This Row],[K1]:[Z4]]),3)</f>
        <v>12</v>
      </c>
      <c r="AB28" s="51">
        <f>LARGE((Table6[[#This Row],[K1]:[Z4]]),4)</f>
        <v>0</v>
      </c>
      <c r="AC28" s="51">
        <f>LARGE((Table6[[#This Row],[K1]:[Z4]]),5)</f>
        <v>0</v>
      </c>
      <c r="AD28" s="51">
        <f>LARGE((Table6[[#This Row],[K1]:[Z4]]),6)</f>
        <v>0</v>
      </c>
      <c r="AE28" s="51">
        <f>LARGE((Table6[[#This Row],[K1]:[Z4]]),7)</f>
        <v>0</v>
      </c>
      <c r="AF28" s="51">
        <f>LARGE((Table6[[#This Row],[K1]:[Z4]]),8)</f>
        <v>0</v>
      </c>
      <c r="AG28" s="51">
        <f>LARGE((Table6[[#This Row],[K1]:[Z4]]),9)</f>
        <v>0</v>
      </c>
      <c r="AH28" s="38">
        <f>LARGE((Table6[[#This Row],[K1]:[Z4]]),10)</f>
        <v>0</v>
      </c>
      <c r="AI28" s="45">
        <f t="shared" si="0"/>
        <v>55</v>
      </c>
      <c r="AJ28" s="37">
        <f t="shared" si="1"/>
        <v>66</v>
      </c>
      <c r="AK28" s="11"/>
    </row>
    <row r="29" spans="1:37" ht="14.4" customHeight="1" x14ac:dyDescent="0.3">
      <c r="A29" s="59">
        <v>26</v>
      </c>
      <c r="B29" s="51">
        <v>419</v>
      </c>
      <c r="C29" t="str">
        <f>_xlfn.XLOOKUP(B29,Sheet2!B:B,Sheet2!C:C)</f>
        <v>Aashay Nagura</v>
      </c>
      <c r="D29" s="52">
        <f>_xlfn.XLOOKUP(B29,Sheet2!B:B,Sheet2!G:G)</f>
        <v>31038</v>
      </c>
      <c r="E29" s="51" t="str">
        <f>_xlfn.XLOOKUP(B29,Sheet2!B:B,Sheet2!H:H)</f>
        <v>EC</v>
      </c>
      <c r="F29" s="30" t="str">
        <f>_xlfn.XLOOKUP(B29,Sheet2!B:B,Sheet2!D:D)</f>
        <v>TONY</v>
      </c>
      <c r="G29" s="37">
        <v>0</v>
      </c>
      <c r="H29" s="51">
        <v>0</v>
      </c>
      <c r="I29" s="51">
        <v>0</v>
      </c>
      <c r="J29" s="51">
        <v>0</v>
      </c>
      <c r="K29" s="49">
        <f>SUM(Table6[[#This Row],[SARMC 1]:[SARMC 4]])</f>
        <v>0</v>
      </c>
      <c r="L29" s="37">
        <v>0</v>
      </c>
      <c r="M29" s="51">
        <v>0</v>
      </c>
      <c r="N29" s="38">
        <v>0</v>
      </c>
      <c r="O29" s="37">
        <v>15</v>
      </c>
      <c r="P29" s="51">
        <v>19</v>
      </c>
      <c r="Q29" s="38">
        <v>23</v>
      </c>
      <c r="R29" s="37">
        <v>0</v>
      </c>
      <c r="S29" s="51">
        <v>0</v>
      </c>
      <c r="T29" s="38">
        <v>0</v>
      </c>
      <c r="U29" s="37">
        <v>0</v>
      </c>
      <c r="V29" s="51">
        <v>0</v>
      </c>
      <c r="W29" s="51">
        <v>0</v>
      </c>
      <c r="X29" s="38">
        <v>0</v>
      </c>
      <c r="Y29" s="37">
        <f>LARGE((Table6[[#This Row],[K1]:[Z4]]),1)</f>
        <v>23</v>
      </c>
      <c r="Z29" s="51">
        <f>LARGE((Table6[[#This Row],[K1]:[Z4]]),2)</f>
        <v>19</v>
      </c>
      <c r="AA29" s="51">
        <f>LARGE((Table6[[#This Row],[K1]:[Z4]]),3)</f>
        <v>15</v>
      </c>
      <c r="AB29" s="51">
        <f>LARGE((Table6[[#This Row],[K1]:[Z4]]),4)</f>
        <v>0</v>
      </c>
      <c r="AC29" s="51">
        <f>LARGE((Table6[[#This Row],[K1]:[Z4]]),5)</f>
        <v>0</v>
      </c>
      <c r="AD29" s="51">
        <f>LARGE((Table6[[#This Row],[K1]:[Z4]]),6)</f>
        <v>0</v>
      </c>
      <c r="AE29" s="51">
        <f>LARGE((Table6[[#This Row],[K1]:[Z4]]),7)</f>
        <v>0</v>
      </c>
      <c r="AF29" s="51">
        <f>LARGE((Table6[[#This Row],[K1]:[Z4]]),8)</f>
        <v>0</v>
      </c>
      <c r="AG29" s="51">
        <f>LARGE((Table6[[#This Row],[K1]:[Z4]]),9)</f>
        <v>0</v>
      </c>
      <c r="AH29" s="38">
        <f>LARGE((Table6[[#This Row],[K1]:[Z4]]),10)</f>
        <v>0</v>
      </c>
      <c r="AI29" s="45">
        <f t="shared" si="0"/>
        <v>57</v>
      </c>
      <c r="AJ29" s="37">
        <f t="shared" si="1"/>
        <v>57</v>
      </c>
      <c r="AK29" s="11"/>
    </row>
    <row r="30" spans="1:37" ht="14.4" customHeight="1" x14ac:dyDescent="0.3">
      <c r="A30" s="59">
        <v>27</v>
      </c>
      <c r="B30" s="51">
        <v>474</v>
      </c>
      <c r="C30" t="str">
        <f>_xlfn.XLOOKUP(B30,Sheet2!B:B,Sheet2!C:C)</f>
        <v>Zion Hair</v>
      </c>
      <c r="D30" s="52">
        <f>_xlfn.XLOOKUP(B30,Sheet2!B:B,Sheet2!G:G)</f>
        <v>40373</v>
      </c>
      <c r="E30" s="51" t="str">
        <f>_xlfn.XLOOKUP(B30,Sheet2!B:B,Sheet2!H:H)</f>
        <v>WP</v>
      </c>
      <c r="F30" s="30" t="str">
        <f>_xlfn.XLOOKUP(B30,Sheet2!B:B,Sheet2!D:D)</f>
        <v>PRAGA</v>
      </c>
      <c r="G30" s="37">
        <v>3</v>
      </c>
      <c r="H30" s="51">
        <v>3</v>
      </c>
      <c r="I30" s="51">
        <v>3</v>
      </c>
      <c r="J30" s="51">
        <v>3</v>
      </c>
      <c r="K30" s="49">
        <f>SUM(Table6[[#This Row],[SARMC 1]:[SARMC 4]])</f>
        <v>12</v>
      </c>
      <c r="L30" s="37">
        <v>15</v>
      </c>
      <c r="M30" s="51">
        <v>14</v>
      </c>
      <c r="N30" s="38">
        <v>16</v>
      </c>
      <c r="O30" s="37">
        <v>0</v>
      </c>
      <c r="P30" s="51">
        <v>0</v>
      </c>
      <c r="Q30" s="38">
        <v>0</v>
      </c>
      <c r="R30" s="37">
        <v>0</v>
      </c>
      <c r="S30" s="51">
        <v>0</v>
      </c>
      <c r="T30" s="38">
        <v>0</v>
      </c>
      <c r="U30" s="37">
        <v>0</v>
      </c>
      <c r="V30" s="51">
        <v>0</v>
      </c>
      <c r="W30" s="51">
        <v>0</v>
      </c>
      <c r="X30" s="38">
        <v>0</v>
      </c>
      <c r="Y30" s="37">
        <f>LARGE((Table6[[#This Row],[K1]:[Z4]]),1)</f>
        <v>16</v>
      </c>
      <c r="Z30" s="51">
        <f>LARGE((Table6[[#This Row],[K1]:[Z4]]),2)</f>
        <v>15</v>
      </c>
      <c r="AA30" s="51">
        <f>LARGE((Table6[[#This Row],[K1]:[Z4]]),3)</f>
        <v>14</v>
      </c>
      <c r="AB30" s="51">
        <f>LARGE((Table6[[#This Row],[K1]:[Z4]]),4)</f>
        <v>0</v>
      </c>
      <c r="AC30" s="51">
        <f>LARGE((Table6[[#This Row],[K1]:[Z4]]),5)</f>
        <v>0</v>
      </c>
      <c r="AD30" s="51">
        <f>LARGE((Table6[[#This Row],[K1]:[Z4]]),6)</f>
        <v>0</v>
      </c>
      <c r="AE30" s="51">
        <f>LARGE((Table6[[#This Row],[K1]:[Z4]]),7)</f>
        <v>0</v>
      </c>
      <c r="AF30" s="51">
        <f>LARGE((Table6[[#This Row],[K1]:[Z4]]),8)</f>
        <v>0</v>
      </c>
      <c r="AG30" s="51">
        <f>LARGE((Table6[[#This Row],[K1]:[Z4]]),9)</f>
        <v>0</v>
      </c>
      <c r="AH30" s="38">
        <f>LARGE((Table6[[#This Row],[K1]:[Z4]]),10)</f>
        <v>0</v>
      </c>
      <c r="AI30" s="45">
        <f t="shared" si="0"/>
        <v>45</v>
      </c>
      <c r="AJ30" s="37">
        <f t="shared" si="1"/>
        <v>57</v>
      </c>
      <c r="AK30" s="11"/>
    </row>
    <row r="31" spans="1:37" ht="14.4" customHeight="1" x14ac:dyDescent="0.3">
      <c r="A31" s="59">
        <v>28</v>
      </c>
      <c r="B31" s="51">
        <v>445</v>
      </c>
      <c r="C31" t="str">
        <f>_xlfn.XLOOKUP(B31,Sheet2!B:B,Sheet2!C:C)</f>
        <v>Cecil Cecil Koorts</v>
      </c>
      <c r="D31" s="52" t="str">
        <f>_xlfn.XLOOKUP(B31,Sheet2!B:B,Sheet2!G:G)</f>
        <v>NMFS471</v>
      </c>
      <c r="E31" s="51" t="str">
        <f>_xlfn.XLOOKUP(B31,Sheet2!B:B,Sheet2!H:H)</f>
        <v>NAM</v>
      </c>
      <c r="F31" s="30" t="str">
        <f>_xlfn.XLOOKUP(B31,Sheet2!B:B,Sheet2!D:D)</f>
        <v>LN</v>
      </c>
      <c r="G31" s="37">
        <v>0</v>
      </c>
      <c r="H31" s="51">
        <v>0</v>
      </c>
      <c r="I31" s="51">
        <v>0</v>
      </c>
      <c r="J31" s="51">
        <v>0</v>
      </c>
      <c r="K31" s="49">
        <f>SUM(Table6[[#This Row],[SARMC 1]:[SARMC 4]])</f>
        <v>0</v>
      </c>
      <c r="L31" s="37">
        <v>0</v>
      </c>
      <c r="M31" s="51">
        <v>0</v>
      </c>
      <c r="N31" s="38">
        <v>0</v>
      </c>
      <c r="O31" s="37">
        <v>0</v>
      </c>
      <c r="P31" s="51">
        <v>0</v>
      </c>
      <c r="Q31" s="38">
        <v>0</v>
      </c>
      <c r="R31" s="37">
        <v>16</v>
      </c>
      <c r="S31" s="51">
        <v>17</v>
      </c>
      <c r="T31" s="38">
        <v>18</v>
      </c>
      <c r="U31" s="37">
        <v>0</v>
      </c>
      <c r="V31" s="51">
        <v>0</v>
      </c>
      <c r="W31" s="51">
        <v>0</v>
      </c>
      <c r="X31" s="38">
        <v>0</v>
      </c>
      <c r="Y31" s="37">
        <f>LARGE((Table6[[#This Row],[K1]:[Z4]]),1)</f>
        <v>18</v>
      </c>
      <c r="Z31" s="51">
        <f>LARGE((Table6[[#This Row],[K1]:[Z4]]),2)</f>
        <v>17</v>
      </c>
      <c r="AA31" s="51">
        <f>LARGE((Table6[[#This Row],[K1]:[Z4]]),3)</f>
        <v>16</v>
      </c>
      <c r="AB31" s="51">
        <f>LARGE((Table6[[#This Row],[K1]:[Z4]]),4)</f>
        <v>0</v>
      </c>
      <c r="AC31" s="51">
        <f>LARGE((Table6[[#This Row],[K1]:[Z4]]),5)</f>
        <v>0</v>
      </c>
      <c r="AD31" s="51">
        <f>LARGE((Table6[[#This Row],[K1]:[Z4]]),6)</f>
        <v>0</v>
      </c>
      <c r="AE31" s="51">
        <f>LARGE((Table6[[#This Row],[K1]:[Z4]]),7)</f>
        <v>0</v>
      </c>
      <c r="AF31" s="51">
        <f>LARGE((Table6[[#This Row],[K1]:[Z4]]),8)</f>
        <v>0</v>
      </c>
      <c r="AG31" s="51">
        <f>LARGE((Table6[[#This Row],[K1]:[Z4]]),9)</f>
        <v>0</v>
      </c>
      <c r="AH31" s="38">
        <f>LARGE((Table6[[#This Row],[K1]:[Z4]]),10)</f>
        <v>0</v>
      </c>
      <c r="AI31" s="45">
        <f t="shared" si="0"/>
        <v>51</v>
      </c>
      <c r="AJ31" s="37">
        <f t="shared" si="1"/>
        <v>51</v>
      </c>
      <c r="AK31" s="11"/>
    </row>
    <row r="32" spans="1:37" ht="14.4" customHeight="1" x14ac:dyDescent="0.3">
      <c r="A32" s="59">
        <v>29</v>
      </c>
      <c r="B32" s="51">
        <v>434</v>
      </c>
      <c r="C32" t="str">
        <f>_xlfn.XLOOKUP(B32,Sheet2!B:B,Sheet2!C:C)</f>
        <v>Mikko Arries</v>
      </c>
      <c r="D32" s="52" t="str">
        <f>_xlfn.XLOOKUP(B32,Sheet2!B:B,Sheet2!G:G)</f>
        <v>0842023</v>
      </c>
      <c r="E32" s="51" t="str">
        <f>_xlfn.XLOOKUP(B32,Sheet2!B:B,Sheet2!H:H)</f>
        <v>WP</v>
      </c>
      <c r="F32" s="30" t="str">
        <f>_xlfn.XLOOKUP(B32,Sheet2!B:B,Sheet2!D:D)</f>
        <v>CRG</v>
      </c>
      <c r="G32" s="37">
        <v>0</v>
      </c>
      <c r="H32" s="51">
        <v>0</v>
      </c>
      <c r="I32" s="51">
        <v>0</v>
      </c>
      <c r="J32" s="51">
        <v>0</v>
      </c>
      <c r="K32" s="49">
        <f>SUM(Table6[[#This Row],[SARMC 1]:[SARMC 4]])</f>
        <v>0</v>
      </c>
      <c r="L32" s="37">
        <v>22</v>
      </c>
      <c r="M32" s="51">
        <v>13</v>
      </c>
      <c r="N32" s="38">
        <v>13</v>
      </c>
      <c r="O32" s="37">
        <v>0</v>
      </c>
      <c r="P32" s="51">
        <v>0</v>
      </c>
      <c r="Q32" s="38">
        <v>0</v>
      </c>
      <c r="R32" s="37">
        <v>0</v>
      </c>
      <c r="S32" s="51">
        <v>0</v>
      </c>
      <c r="T32" s="38">
        <v>0</v>
      </c>
      <c r="U32" s="37">
        <v>0</v>
      </c>
      <c r="V32" s="51">
        <v>0</v>
      </c>
      <c r="W32" s="51">
        <v>0</v>
      </c>
      <c r="X32" s="38">
        <v>0</v>
      </c>
      <c r="Y32" s="37">
        <f>LARGE((Table6[[#This Row],[K1]:[Z4]]),1)</f>
        <v>22</v>
      </c>
      <c r="Z32" s="51">
        <f>LARGE((Table6[[#This Row],[K1]:[Z4]]),2)</f>
        <v>13</v>
      </c>
      <c r="AA32" s="51">
        <f>LARGE((Table6[[#This Row],[K1]:[Z4]]),3)</f>
        <v>13</v>
      </c>
      <c r="AB32" s="51">
        <f>LARGE((Table6[[#This Row],[K1]:[Z4]]),4)</f>
        <v>0</v>
      </c>
      <c r="AC32" s="51">
        <f>LARGE((Table6[[#This Row],[K1]:[Z4]]),5)</f>
        <v>0</v>
      </c>
      <c r="AD32" s="51">
        <f>LARGE((Table6[[#This Row],[K1]:[Z4]]),6)</f>
        <v>0</v>
      </c>
      <c r="AE32" s="51">
        <f>LARGE((Table6[[#This Row],[K1]:[Z4]]),7)</f>
        <v>0</v>
      </c>
      <c r="AF32" s="51">
        <f>LARGE((Table6[[#This Row],[K1]:[Z4]]),8)</f>
        <v>0</v>
      </c>
      <c r="AG32" s="51">
        <f>LARGE((Table6[[#This Row],[K1]:[Z4]]),9)</f>
        <v>0</v>
      </c>
      <c r="AH32" s="38">
        <f>LARGE((Table6[[#This Row],[K1]:[Z4]]),10)</f>
        <v>0</v>
      </c>
      <c r="AI32" s="45">
        <f t="shared" si="0"/>
        <v>48</v>
      </c>
      <c r="AJ32" s="37">
        <f t="shared" si="1"/>
        <v>48</v>
      </c>
      <c r="AK32" s="11"/>
    </row>
    <row r="33" spans="1:37" ht="14.4" customHeight="1" x14ac:dyDescent="0.3">
      <c r="A33" s="59">
        <v>30</v>
      </c>
      <c r="B33" s="51">
        <v>461</v>
      </c>
      <c r="C33" t="str">
        <f>_xlfn.XLOOKUP(B33,Sheet2!B:B,Sheet2!C:C)</f>
        <v>Santiago Frade</v>
      </c>
      <c r="D33" s="52">
        <f>_xlfn.XLOOKUP(B33,Sheet2!B:B,Sheet2!G:G)</f>
        <v>26476</v>
      </c>
      <c r="E33" s="51" t="str">
        <f>_xlfn.XLOOKUP(B33,Sheet2!B:B,Sheet2!H:H)</f>
        <v>NR</v>
      </c>
      <c r="F33" s="30" t="str">
        <f>_xlfn.XLOOKUP(B33,Sheet2!B:B,Sheet2!D:D)</f>
        <v>CRG</v>
      </c>
      <c r="G33" s="37">
        <v>2</v>
      </c>
      <c r="H33" s="51">
        <v>3</v>
      </c>
      <c r="I33" s="51">
        <v>3</v>
      </c>
      <c r="J33" s="51">
        <v>3</v>
      </c>
      <c r="K33" s="49">
        <f>SUM(Table6[[#This Row],[SARMC 1]:[SARMC 4]])</f>
        <v>11</v>
      </c>
      <c r="L33" s="37">
        <v>0</v>
      </c>
      <c r="M33" s="51">
        <v>0</v>
      </c>
      <c r="N33" s="38">
        <v>0</v>
      </c>
      <c r="O33" s="37">
        <v>0</v>
      </c>
      <c r="P33" s="51">
        <v>0</v>
      </c>
      <c r="Q33" s="38">
        <v>0</v>
      </c>
      <c r="R33" s="37">
        <v>15</v>
      </c>
      <c r="S33" s="51">
        <v>9</v>
      </c>
      <c r="T33" s="38">
        <v>12</v>
      </c>
      <c r="U33" s="37">
        <v>0</v>
      </c>
      <c r="V33" s="51">
        <v>0</v>
      </c>
      <c r="W33" s="51">
        <v>0</v>
      </c>
      <c r="X33" s="38">
        <v>0</v>
      </c>
      <c r="Y33" s="37">
        <f>LARGE((Table6[[#This Row],[K1]:[Z4]]),1)</f>
        <v>15</v>
      </c>
      <c r="Z33" s="51">
        <f>LARGE((Table6[[#This Row],[K1]:[Z4]]),2)</f>
        <v>12</v>
      </c>
      <c r="AA33" s="51">
        <f>LARGE((Table6[[#This Row],[K1]:[Z4]]),3)</f>
        <v>9</v>
      </c>
      <c r="AB33" s="51">
        <f>LARGE((Table6[[#This Row],[K1]:[Z4]]),4)</f>
        <v>0</v>
      </c>
      <c r="AC33" s="51">
        <f>LARGE((Table6[[#This Row],[K1]:[Z4]]),5)</f>
        <v>0</v>
      </c>
      <c r="AD33" s="51">
        <f>LARGE((Table6[[#This Row],[K1]:[Z4]]),6)</f>
        <v>0</v>
      </c>
      <c r="AE33" s="51">
        <f>LARGE((Table6[[#This Row],[K1]:[Z4]]),7)</f>
        <v>0</v>
      </c>
      <c r="AF33" s="51">
        <f>LARGE((Table6[[#This Row],[K1]:[Z4]]),8)</f>
        <v>0</v>
      </c>
      <c r="AG33" s="51">
        <f>LARGE((Table6[[#This Row],[K1]:[Z4]]),9)</f>
        <v>0</v>
      </c>
      <c r="AH33" s="38">
        <f>LARGE((Table6[[#This Row],[K1]:[Z4]]),10)</f>
        <v>0</v>
      </c>
      <c r="AI33" s="45">
        <f t="shared" si="0"/>
        <v>36</v>
      </c>
      <c r="AJ33" s="37">
        <f t="shared" si="1"/>
        <v>47</v>
      </c>
      <c r="AK33" s="11"/>
    </row>
    <row r="34" spans="1:37" ht="14.4" customHeight="1" x14ac:dyDescent="0.3">
      <c r="A34" s="59">
        <v>31</v>
      </c>
      <c r="B34" s="51">
        <v>454</v>
      </c>
      <c r="C34" t="str">
        <f>_xlfn.XLOOKUP(B34,Sheet2!B:B,Sheet2!C:C)</f>
        <v>Okhethwaho Nangammbi</v>
      </c>
      <c r="D34" s="52">
        <f>_xlfn.XLOOKUP(B34,Sheet2!B:B,Sheet2!G:G)</f>
        <v>45825</v>
      </c>
      <c r="E34" s="51" t="str">
        <f>_xlfn.XLOOKUP(B34,Sheet2!B:B,Sheet2!H:H)</f>
        <v>NR</v>
      </c>
      <c r="F34" s="30" t="s">
        <v>358</v>
      </c>
      <c r="G34" s="37">
        <v>0</v>
      </c>
      <c r="H34" s="51">
        <v>0</v>
      </c>
      <c r="I34" s="51">
        <v>3</v>
      </c>
      <c r="J34" s="51">
        <v>0</v>
      </c>
      <c r="K34" s="49">
        <f>SUM(Table6[[#This Row],[SARMC 1]:[SARMC 4]])</f>
        <v>3</v>
      </c>
      <c r="L34" s="37">
        <v>0</v>
      </c>
      <c r="M34" s="51">
        <v>0</v>
      </c>
      <c r="N34" s="38">
        <v>0</v>
      </c>
      <c r="O34" s="37">
        <v>0</v>
      </c>
      <c r="P34" s="51">
        <v>0</v>
      </c>
      <c r="Q34" s="38">
        <v>0</v>
      </c>
      <c r="R34" s="37">
        <v>6</v>
      </c>
      <c r="S34" s="51">
        <v>7</v>
      </c>
      <c r="T34" s="38">
        <v>17</v>
      </c>
      <c r="U34" s="37">
        <v>0</v>
      </c>
      <c r="V34" s="51">
        <v>0</v>
      </c>
      <c r="W34" s="51">
        <v>0</v>
      </c>
      <c r="X34" s="38">
        <v>0</v>
      </c>
      <c r="Y34" s="37">
        <f>LARGE((Table6[[#This Row],[K1]:[Z4]]),1)</f>
        <v>17</v>
      </c>
      <c r="Z34" s="51">
        <f>LARGE((Table6[[#This Row],[K1]:[Z4]]),2)</f>
        <v>7</v>
      </c>
      <c r="AA34" s="51">
        <f>LARGE((Table6[[#This Row],[K1]:[Z4]]),3)</f>
        <v>6</v>
      </c>
      <c r="AB34" s="51">
        <f>LARGE((Table6[[#This Row],[K1]:[Z4]]),4)</f>
        <v>0</v>
      </c>
      <c r="AC34" s="51">
        <f>LARGE((Table6[[#This Row],[K1]:[Z4]]),5)</f>
        <v>0</v>
      </c>
      <c r="AD34" s="51">
        <f>LARGE((Table6[[#This Row],[K1]:[Z4]]),6)</f>
        <v>0</v>
      </c>
      <c r="AE34" s="51">
        <f>LARGE((Table6[[#This Row],[K1]:[Z4]]),7)</f>
        <v>0</v>
      </c>
      <c r="AF34" s="51">
        <f>LARGE((Table6[[#This Row],[K1]:[Z4]]),8)</f>
        <v>0</v>
      </c>
      <c r="AG34" s="51">
        <f>LARGE((Table6[[#This Row],[K1]:[Z4]]),9)</f>
        <v>0</v>
      </c>
      <c r="AH34" s="38">
        <f>LARGE((Table6[[#This Row],[K1]:[Z4]]),10)</f>
        <v>0</v>
      </c>
      <c r="AI34" s="45">
        <f t="shared" si="0"/>
        <v>30</v>
      </c>
      <c r="AJ34" s="37">
        <f t="shared" si="1"/>
        <v>33</v>
      </c>
      <c r="AK34" s="11"/>
    </row>
    <row r="35" spans="1:37" ht="14.4" x14ac:dyDescent="0.3">
      <c r="A35" s="59">
        <v>32</v>
      </c>
      <c r="B35" s="51">
        <v>475</v>
      </c>
      <c r="C35" t="str">
        <f>_xlfn.XLOOKUP(B35,Sheet2!B:B,Sheet2!C:C)</f>
        <v>Nicolais Mostert</v>
      </c>
      <c r="D35" s="52">
        <f>_xlfn.XLOOKUP(B35,Sheet2!B:B,Sheet2!G:G)</f>
        <v>697</v>
      </c>
      <c r="E35" s="51" t="str">
        <f>_xlfn.XLOOKUP(B35,Sheet2!B:B,Sheet2!H:H)</f>
        <v>NAM</v>
      </c>
      <c r="F35" s="30" t="str">
        <f>_xlfn.XLOOKUP(B35,Sheet2!B:B,Sheet2!D:D)</f>
        <v>SODI</v>
      </c>
      <c r="G35" s="37">
        <v>0</v>
      </c>
      <c r="H35" s="51">
        <v>0</v>
      </c>
      <c r="I35" s="51">
        <v>0</v>
      </c>
      <c r="J35" s="51">
        <v>0</v>
      </c>
      <c r="K35" s="49">
        <f>SUM(Table6[[#This Row],[SARMC 1]:[SARMC 4]])</f>
        <v>0</v>
      </c>
      <c r="L35" s="37">
        <v>0</v>
      </c>
      <c r="M35" s="51">
        <v>0</v>
      </c>
      <c r="N35" s="38">
        <v>0</v>
      </c>
      <c r="O35" s="37">
        <v>0</v>
      </c>
      <c r="P35" s="51">
        <v>0</v>
      </c>
      <c r="Q35" s="38">
        <v>0</v>
      </c>
      <c r="R35" s="37">
        <v>8</v>
      </c>
      <c r="S35" s="51">
        <v>8</v>
      </c>
      <c r="T35" s="38">
        <v>16</v>
      </c>
      <c r="U35" s="37">
        <v>0</v>
      </c>
      <c r="V35" s="51">
        <v>0</v>
      </c>
      <c r="W35" s="51">
        <v>0</v>
      </c>
      <c r="X35" s="38">
        <v>0</v>
      </c>
      <c r="Y35" s="37">
        <f>LARGE((Table6[[#This Row],[K1]:[Z4]]),1)</f>
        <v>16</v>
      </c>
      <c r="Z35" s="51">
        <f>LARGE((Table6[[#This Row],[K1]:[Z4]]),2)</f>
        <v>8</v>
      </c>
      <c r="AA35" s="51">
        <f>LARGE((Table6[[#This Row],[K1]:[Z4]]),3)</f>
        <v>8</v>
      </c>
      <c r="AB35" s="51">
        <f>LARGE((Table6[[#This Row],[K1]:[Z4]]),4)</f>
        <v>0</v>
      </c>
      <c r="AC35" s="51">
        <f>LARGE((Table6[[#This Row],[K1]:[Z4]]),5)</f>
        <v>0</v>
      </c>
      <c r="AD35" s="51">
        <f>LARGE((Table6[[#This Row],[K1]:[Z4]]),6)</f>
        <v>0</v>
      </c>
      <c r="AE35" s="51">
        <f>LARGE((Table6[[#This Row],[K1]:[Z4]]),7)</f>
        <v>0</v>
      </c>
      <c r="AF35" s="51">
        <f>LARGE((Table6[[#This Row],[K1]:[Z4]]),8)</f>
        <v>0</v>
      </c>
      <c r="AG35" s="51">
        <f>LARGE((Table6[[#This Row],[K1]:[Z4]]),9)</f>
        <v>0</v>
      </c>
      <c r="AH35" s="38">
        <f>LARGE((Table6[[#This Row],[K1]:[Z4]]),10)</f>
        <v>0</v>
      </c>
      <c r="AI35" s="45">
        <f t="shared" si="0"/>
        <v>32</v>
      </c>
      <c r="AJ35" s="37">
        <f t="shared" si="1"/>
        <v>32</v>
      </c>
      <c r="AK35" s="11"/>
    </row>
    <row r="36" spans="1:37" ht="14.4" x14ac:dyDescent="0.3">
      <c r="A36" s="59">
        <v>33</v>
      </c>
      <c r="B36" s="51">
        <v>467</v>
      </c>
      <c r="C36" t="str">
        <f>_xlfn.XLOOKUP(B36,Sheet2!B:B,Sheet2!C:C)</f>
        <v>Nkosinathi Mokhonoana</v>
      </c>
      <c r="D36" s="52">
        <f>_xlfn.XLOOKUP(B36,Sheet2!B:B,Sheet2!G:G)</f>
        <v>46202</v>
      </c>
      <c r="E36" s="51" t="str">
        <f>_xlfn.XLOOKUP(B36,Sheet2!B:B,Sheet2!H:H)</f>
        <v>NR</v>
      </c>
      <c r="F36" s="30" t="str">
        <f>_xlfn.XLOOKUP(B36,Sheet2!B:B,Sheet2!D:D)</f>
        <v>LNK</v>
      </c>
      <c r="G36" s="37">
        <v>2</v>
      </c>
      <c r="H36" s="51">
        <v>0</v>
      </c>
      <c r="I36" s="51">
        <v>3</v>
      </c>
      <c r="J36" s="51">
        <v>0</v>
      </c>
      <c r="K36" s="49">
        <f>SUM(Table6[[#This Row],[SARMC 1]:[SARMC 4]])</f>
        <v>5</v>
      </c>
      <c r="L36" s="37">
        <v>0</v>
      </c>
      <c r="M36" s="51">
        <v>0</v>
      </c>
      <c r="N36" s="38">
        <v>0</v>
      </c>
      <c r="O36" s="37">
        <v>0</v>
      </c>
      <c r="P36" s="51">
        <v>0</v>
      </c>
      <c r="Q36" s="38">
        <v>0</v>
      </c>
      <c r="R36" s="37">
        <v>9</v>
      </c>
      <c r="S36" s="51">
        <v>6</v>
      </c>
      <c r="T36" s="38">
        <v>7</v>
      </c>
      <c r="U36" s="37">
        <v>0</v>
      </c>
      <c r="V36" s="51">
        <v>0</v>
      </c>
      <c r="W36" s="51">
        <v>0</v>
      </c>
      <c r="X36" s="38">
        <v>0</v>
      </c>
      <c r="Y36" s="37">
        <f>LARGE((Table6[[#This Row],[K1]:[Z4]]),1)</f>
        <v>9</v>
      </c>
      <c r="Z36" s="51">
        <f>LARGE((Table6[[#This Row],[K1]:[Z4]]),2)</f>
        <v>7</v>
      </c>
      <c r="AA36" s="51">
        <f>LARGE((Table6[[#This Row],[K1]:[Z4]]),3)</f>
        <v>6</v>
      </c>
      <c r="AB36" s="51">
        <f>LARGE((Table6[[#This Row],[K1]:[Z4]]),4)</f>
        <v>0</v>
      </c>
      <c r="AC36" s="51">
        <f>LARGE((Table6[[#This Row],[K1]:[Z4]]),5)</f>
        <v>0</v>
      </c>
      <c r="AD36" s="51">
        <f>LARGE((Table6[[#This Row],[K1]:[Z4]]),6)</f>
        <v>0</v>
      </c>
      <c r="AE36" s="51">
        <f>LARGE((Table6[[#This Row],[K1]:[Z4]]),7)</f>
        <v>0</v>
      </c>
      <c r="AF36" s="51">
        <f>LARGE((Table6[[#This Row],[K1]:[Z4]]),8)</f>
        <v>0</v>
      </c>
      <c r="AG36" s="51">
        <f>LARGE((Table6[[#This Row],[K1]:[Z4]]),9)</f>
        <v>0</v>
      </c>
      <c r="AH36" s="38">
        <f>LARGE((Table6[[#This Row],[K1]:[Z4]]),10)</f>
        <v>0</v>
      </c>
      <c r="AI36" s="45">
        <f t="shared" si="0"/>
        <v>22</v>
      </c>
      <c r="AJ36" s="37">
        <f t="shared" si="1"/>
        <v>27</v>
      </c>
      <c r="AK36" s="11"/>
    </row>
    <row r="37" spans="1:37" ht="14.4" x14ac:dyDescent="0.3">
      <c r="A37" s="59">
        <v>34</v>
      </c>
      <c r="B37" s="51">
        <v>457</v>
      </c>
      <c r="C37" t="str">
        <f>_xlfn.XLOOKUP(B37,Sheet2!B:B,Sheet2!C:C)</f>
        <v>Zeph Hair</v>
      </c>
      <c r="D37" s="52">
        <f>_xlfn.XLOOKUP(B37,Sheet2!B:B,Sheet2!G:G)</f>
        <v>40374</v>
      </c>
      <c r="E37" s="51" t="str">
        <f>_xlfn.XLOOKUP(B37,Sheet2!B:B,Sheet2!H:H)</f>
        <v>WP</v>
      </c>
      <c r="F37" s="30" t="str">
        <f>_xlfn.XLOOKUP(B37,Sheet2!B:B,Sheet2!D:D)</f>
        <v>PRAGA</v>
      </c>
      <c r="G37" s="37">
        <v>3</v>
      </c>
      <c r="H37" s="51">
        <v>2</v>
      </c>
      <c r="I37" s="51">
        <v>3</v>
      </c>
      <c r="J37" s="51">
        <v>3</v>
      </c>
      <c r="K37" s="49">
        <f>SUM(Table6[[#This Row],[SARMC 1]:[SARMC 4]])</f>
        <v>11</v>
      </c>
      <c r="L37" s="37">
        <v>10</v>
      </c>
      <c r="M37" s="51" t="s">
        <v>437</v>
      </c>
      <c r="N37" s="38" t="s">
        <v>437</v>
      </c>
      <c r="O37" s="37">
        <v>0</v>
      </c>
      <c r="P37" s="51">
        <v>0</v>
      </c>
      <c r="Q37" s="38">
        <v>0</v>
      </c>
      <c r="R37" s="37">
        <v>0</v>
      </c>
      <c r="S37" s="51">
        <v>0</v>
      </c>
      <c r="T37" s="38">
        <v>0</v>
      </c>
      <c r="U37" s="37">
        <v>0</v>
      </c>
      <c r="V37" s="51">
        <v>0</v>
      </c>
      <c r="W37" s="51">
        <v>0</v>
      </c>
      <c r="X37" s="38">
        <v>0</v>
      </c>
      <c r="Y37" s="37">
        <f>LARGE((Table6[[#This Row],[K1]:[Z4]]),1)</f>
        <v>10</v>
      </c>
      <c r="Z37" s="51">
        <f>LARGE((Table6[[#This Row],[K1]:[Z4]]),2)</f>
        <v>0</v>
      </c>
      <c r="AA37" s="51">
        <f>LARGE((Table6[[#This Row],[K1]:[Z4]]),3)</f>
        <v>0</v>
      </c>
      <c r="AB37" s="51">
        <f>LARGE((Table6[[#This Row],[K1]:[Z4]]),4)</f>
        <v>0</v>
      </c>
      <c r="AC37" s="51">
        <f>LARGE((Table6[[#This Row],[K1]:[Z4]]),5)</f>
        <v>0</v>
      </c>
      <c r="AD37" s="51">
        <f>LARGE((Table6[[#This Row],[K1]:[Z4]]),6)</f>
        <v>0</v>
      </c>
      <c r="AE37" s="51">
        <f>LARGE((Table6[[#This Row],[K1]:[Z4]]),7)</f>
        <v>0</v>
      </c>
      <c r="AF37" s="51">
        <f>LARGE((Table6[[#This Row],[K1]:[Z4]]),8)</f>
        <v>0</v>
      </c>
      <c r="AG37" s="51">
        <f>LARGE((Table6[[#This Row],[K1]:[Z4]]),9)</f>
        <v>0</v>
      </c>
      <c r="AH37" s="38">
        <f>LARGE((Table6[[#This Row],[K1]:[Z4]]),10)</f>
        <v>0</v>
      </c>
      <c r="AI37" s="45">
        <f t="shared" si="0"/>
        <v>10</v>
      </c>
      <c r="AJ37" s="37">
        <f t="shared" si="1"/>
        <v>21</v>
      </c>
      <c r="AK37" s="11"/>
    </row>
    <row r="38" spans="1:37" ht="14.4" x14ac:dyDescent="0.3">
      <c r="A38" s="59">
        <v>35</v>
      </c>
      <c r="B38" s="51">
        <v>436</v>
      </c>
      <c r="C38" t="s">
        <v>471</v>
      </c>
      <c r="D38" s="52">
        <v>28426</v>
      </c>
      <c r="E38" s="51" t="s">
        <v>472</v>
      </c>
      <c r="F38" s="30" t="s">
        <v>334</v>
      </c>
      <c r="G38" s="37">
        <v>0</v>
      </c>
      <c r="H38" s="51">
        <v>0</v>
      </c>
      <c r="I38" s="51">
        <v>0</v>
      </c>
      <c r="J38" s="51">
        <v>0</v>
      </c>
      <c r="K38" s="49">
        <f>SUM(Table6[[#This Row],[SARMC 1]:[SARMC 4]])</f>
        <v>0</v>
      </c>
      <c r="L38" s="37">
        <v>0</v>
      </c>
      <c r="M38" s="51">
        <v>0</v>
      </c>
      <c r="N38" s="38">
        <v>0</v>
      </c>
      <c r="O38" s="37">
        <v>0</v>
      </c>
      <c r="P38" s="51">
        <v>0</v>
      </c>
      <c r="Q38" s="38">
        <v>0</v>
      </c>
      <c r="R38" s="37">
        <v>7</v>
      </c>
      <c r="S38" s="51">
        <v>5</v>
      </c>
      <c r="T38" s="38">
        <v>8</v>
      </c>
      <c r="U38" s="37">
        <v>0</v>
      </c>
      <c r="V38" s="51">
        <v>0</v>
      </c>
      <c r="W38" s="51">
        <v>0</v>
      </c>
      <c r="X38" s="38">
        <v>0</v>
      </c>
      <c r="Y38" s="37">
        <f>LARGE((Table6[[#This Row],[K1]:[Z4]]),1)</f>
        <v>8</v>
      </c>
      <c r="Z38" s="51">
        <f>LARGE((Table6[[#This Row],[K1]:[Z4]]),2)</f>
        <v>7</v>
      </c>
      <c r="AA38" s="51">
        <f>LARGE((Table6[[#This Row],[K1]:[Z4]]),3)</f>
        <v>5</v>
      </c>
      <c r="AB38" s="51">
        <f>LARGE((Table6[[#This Row],[K1]:[Z4]]),4)</f>
        <v>0</v>
      </c>
      <c r="AC38" s="51">
        <f>LARGE((Table6[[#This Row],[K1]:[Z4]]),5)</f>
        <v>0</v>
      </c>
      <c r="AD38" s="51">
        <f>LARGE((Table6[[#This Row],[K1]:[Z4]]),6)</f>
        <v>0</v>
      </c>
      <c r="AE38" s="51">
        <f>LARGE((Table6[[#This Row],[K1]:[Z4]]),7)</f>
        <v>0</v>
      </c>
      <c r="AF38" s="51">
        <f>LARGE((Table6[[#This Row],[K1]:[Z4]]),8)</f>
        <v>0</v>
      </c>
      <c r="AG38" s="51">
        <f>LARGE((Table6[[#This Row],[K1]:[Z4]]),9)</f>
        <v>0</v>
      </c>
      <c r="AH38" s="38">
        <f>LARGE((Table6[[#This Row],[K1]:[Z4]]),10)</f>
        <v>0</v>
      </c>
      <c r="AI38" s="45">
        <f t="shared" si="0"/>
        <v>20</v>
      </c>
      <c r="AJ38" s="37">
        <f t="shared" si="1"/>
        <v>20</v>
      </c>
      <c r="AK38" s="11"/>
    </row>
    <row r="39" spans="1:37" ht="14.4" x14ac:dyDescent="0.3">
      <c r="A39" s="59">
        <v>36</v>
      </c>
      <c r="B39" s="51">
        <v>484</v>
      </c>
      <c r="C39" t="str">
        <f>_xlfn.XLOOKUP(B39,Sheet2!B:B,Sheet2!C:C)</f>
        <v>Justin Milleskie</v>
      </c>
      <c r="D39" s="52">
        <f>_xlfn.XLOOKUP(B39,Sheet2!B:B,Sheet2!G:G)</f>
        <v>44164</v>
      </c>
      <c r="E39" s="51" t="str">
        <f>_xlfn.XLOOKUP(B39,Sheet2!B:B,Sheet2!H:H)</f>
        <v>WP</v>
      </c>
      <c r="F39" s="30" t="str">
        <f>_xlfn.XLOOKUP(B39,Sheet2!B:B,Sheet2!D:D)</f>
        <v>PRAGA</v>
      </c>
      <c r="G39" s="37">
        <v>3</v>
      </c>
      <c r="H39" s="51">
        <v>3</v>
      </c>
      <c r="I39" s="51">
        <v>3</v>
      </c>
      <c r="J39" s="51">
        <v>3</v>
      </c>
      <c r="K39" s="49">
        <f>SUM(Table6[[#This Row],[SARMC 1]:[SARMC 4]])</f>
        <v>12</v>
      </c>
      <c r="L39" s="37">
        <v>0</v>
      </c>
      <c r="M39" s="51">
        <v>0</v>
      </c>
      <c r="N39" s="38">
        <v>0</v>
      </c>
      <c r="O39" s="37">
        <v>0</v>
      </c>
      <c r="P39" s="51">
        <v>0</v>
      </c>
      <c r="Q39" s="38">
        <v>0</v>
      </c>
      <c r="R39" s="37">
        <v>0</v>
      </c>
      <c r="S39" s="51">
        <v>0</v>
      </c>
      <c r="T39" s="38">
        <v>0</v>
      </c>
      <c r="U39" s="37">
        <v>0</v>
      </c>
      <c r="V39" s="51">
        <v>0</v>
      </c>
      <c r="W39" s="51">
        <v>0</v>
      </c>
      <c r="X39" s="38">
        <v>0</v>
      </c>
      <c r="Y39" s="37">
        <f>LARGE((Table6[[#This Row],[K1]:[Z4]]),1)</f>
        <v>0</v>
      </c>
      <c r="Z39" s="51">
        <f>LARGE((Table6[[#This Row],[K1]:[Z4]]),2)</f>
        <v>0</v>
      </c>
      <c r="AA39" s="51">
        <f>LARGE((Table6[[#This Row],[K1]:[Z4]]),3)</f>
        <v>0</v>
      </c>
      <c r="AB39" s="51">
        <f>LARGE((Table6[[#This Row],[K1]:[Z4]]),4)</f>
        <v>0</v>
      </c>
      <c r="AC39" s="51">
        <f>LARGE((Table6[[#This Row],[K1]:[Z4]]),5)</f>
        <v>0</v>
      </c>
      <c r="AD39" s="51">
        <f>LARGE((Table6[[#This Row],[K1]:[Z4]]),6)</f>
        <v>0</v>
      </c>
      <c r="AE39" s="51">
        <f>LARGE((Table6[[#This Row],[K1]:[Z4]]),7)</f>
        <v>0</v>
      </c>
      <c r="AF39" s="51">
        <f>LARGE((Table6[[#This Row],[K1]:[Z4]]),8)</f>
        <v>0</v>
      </c>
      <c r="AG39" s="51">
        <f>LARGE((Table6[[#This Row],[K1]:[Z4]]),9)</f>
        <v>0</v>
      </c>
      <c r="AH39" s="38">
        <f>LARGE((Table6[[#This Row],[K1]:[Z4]]),10)</f>
        <v>0</v>
      </c>
      <c r="AI39" s="45">
        <f t="shared" si="0"/>
        <v>0</v>
      </c>
      <c r="AJ39" s="37">
        <f t="shared" si="1"/>
        <v>12</v>
      </c>
      <c r="AK39" s="11"/>
    </row>
    <row r="40" spans="1:37" ht="14.4" x14ac:dyDescent="0.3">
      <c r="A40" s="59">
        <v>37</v>
      </c>
      <c r="B40" s="51">
        <v>423</v>
      </c>
      <c r="C40" t="str">
        <f>_xlfn.XLOOKUP(B40,Sheet2!B:B,Sheet2!C:C)</f>
        <v>Zach Mcauley</v>
      </c>
      <c r="D40" s="52">
        <f>_xlfn.XLOOKUP(B40,Sheet2!B:B,Sheet2!G:G)</f>
        <v>26744</v>
      </c>
      <c r="E40" s="51" t="str">
        <f>_xlfn.XLOOKUP(B40,Sheet2!B:B,Sheet2!H:H)</f>
        <v>WP</v>
      </c>
      <c r="F40" s="30" t="str">
        <f>_xlfn.XLOOKUP(B40,Sheet2!B:B,Sheet2!D:D)</f>
        <v>BIRELART</v>
      </c>
      <c r="G40" s="37">
        <v>3</v>
      </c>
      <c r="H40" s="51">
        <v>3</v>
      </c>
      <c r="I40" s="51">
        <v>3</v>
      </c>
      <c r="J40" s="51">
        <v>3</v>
      </c>
      <c r="K40" s="49">
        <f>SUM(Table6[[#This Row],[SARMC 1]:[SARMC 4]])</f>
        <v>12</v>
      </c>
      <c r="L40" s="37">
        <v>0</v>
      </c>
      <c r="M40" s="51">
        <v>0</v>
      </c>
      <c r="N40" s="38">
        <v>0</v>
      </c>
      <c r="O40" s="37">
        <v>0</v>
      </c>
      <c r="P40" s="51">
        <v>0</v>
      </c>
      <c r="Q40" s="38">
        <v>0</v>
      </c>
      <c r="R40" s="37">
        <v>0</v>
      </c>
      <c r="S40" s="51">
        <v>0</v>
      </c>
      <c r="T40" s="38">
        <v>0</v>
      </c>
      <c r="U40" s="37">
        <v>0</v>
      </c>
      <c r="V40" s="51">
        <v>0</v>
      </c>
      <c r="W40" s="51">
        <v>0</v>
      </c>
      <c r="X40" s="38">
        <v>0</v>
      </c>
      <c r="Y40" s="37">
        <f>LARGE((Table6[[#This Row],[K1]:[Z4]]),1)</f>
        <v>0</v>
      </c>
      <c r="Z40" s="51">
        <f>LARGE((Table6[[#This Row],[K1]:[Z4]]),2)</f>
        <v>0</v>
      </c>
      <c r="AA40" s="51">
        <f>LARGE((Table6[[#This Row],[K1]:[Z4]]),3)</f>
        <v>0</v>
      </c>
      <c r="AB40" s="51">
        <f>LARGE((Table6[[#This Row],[K1]:[Z4]]),4)</f>
        <v>0</v>
      </c>
      <c r="AC40" s="51">
        <f>LARGE((Table6[[#This Row],[K1]:[Z4]]),5)</f>
        <v>0</v>
      </c>
      <c r="AD40" s="51">
        <f>LARGE((Table6[[#This Row],[K1]:[Z4]]),6)</f>
        <v>0</v>
      </c>
      <c r="AE40" s="51">
        <f>LARGE((Table6[[#This Row],[K1]:[Z4]]),7)</f>
        <v>0</v>
      </c>
      <c r="AF40" s="51">
        <f>LARGE((Table6[[#This Row],[K1]:[Z4]]),8)</f>
        <v>0</v>
      </c>
      <c r="AG40" s="51">
        <f>LARGE((Table6[[#This Row],[K1]:[Z4]]),9)</f>
        <v>0</v>
      </c>
      <c r="AH40" s="38">
        <f>LARGE((Table6[[#This Row],[K1]:[Z4]]),10)</f>
        <v>0</v>
      </c>
      <c r="AI40" s="45">
        <f t="shared" si="0"/>
        <v>0</v>
      </c>
      <c r="AJ40" s="37">
        <f t="shared" si="1"/>
        <v>12</v>
      </c>
      <c r="AK40" s="11"/>
    </row>
    <row r="41" spans="1:37" ht="14.4" x14ac:dyDescent="0.3">
      <c r="A41" s="59">
        <v>38</v>
      </c>
      <c r="B41" s="51">
        <v>478</v>
      </c>
      <c r="C41" t="str">
        <f>_xlfn.XLOOKUP(B41,Sheet2!B:B,Sheet2!C:C)</f>
        <v>Ryan Falconer</v>
      </c>
      <c r="D41" s="52">
        <f>_xlfn.XLOOKUP(B41,Sheet2!B:B,Sheet2!G:G)</f>
        <v>35788</v>
      </c>
      <c r="E41" s="51" t="str">
        <f>_xlfn.XLOOKUP(B41,Sheet2!B:B,Sheet2!H:H)</f>
        <v>KZN</v>
      </c>
      <c r="F41" s="30" t="str">
        <f>_xlfn.XLOOKUP(B41,Sheet2!B:B,Sheet2!D:D)</f>
        <v>SODI</v>
      </c>
      <c r="G41" s="37">
        <v>3</v>
      </c>
      <c r="H41" s="51">
        <v>3</v>
      </c>
      <c r="I41" s="51">
        <v>3</v>
      </c>
      <c r="J41" s="51">
        <v>3</v>
      </c>
      <c r="K41" s="49">
        <f>SUM(Table6[[#This Row],[SARMC 1]:[SARMC 4]])</f>
        <v>12</v>
      </c>
      <c r="L41" s="37">
        <v>0</v>
      </c>
      <c r="M41" s="51">
        <v>0</v>
      </c>
      <c r="N41" s="38">
        <v>0</v>
      </c>
      <c r="O41" s="37">
        <v>0</v>
      </c>
      <c r="P41" s="51">
        <v>0</v>
      </c>
      <c r="Q41" s="38">
        <v>0</v>
      </c>
      <c r="R41" s="37">
        <v>0</v>
      </c>
      <c r="S41" s="51">
        <v>0</v>
      </c>
      <c r="T41" s="38">
        <v>0</v>
      </c>
      <c r="U41" s="37">
        <v>0</v>
      </c>
      <c r="V41" s="51">
        <v>0</v>
      </c>
      <c r="W41" s="51">
        <v>0</v>
      </c>
      <c r="X41" s="38">
        <v>0</v>
      </c>
      <c r="Y41" s="37">
        <f>LARGE((Table6[[#This Row],[K1]:[Z4]]),1)</f>
        <v>0</v>
      </c>
      <c r="Z41" s="51">
        <f>LARGE((Table6[[#This Row],[K1]:[Z4]]),2)</f>
        <v>0</v>
      </c>
      <c r="AA41" s="51">
        <f>LARGE((Table6[[#This Row],[K1]:[Z4]]),3)</f>
        <v>0</v>
      </c>
      <c r="AB41" s="51">
        <f>LARGE((Table6[[#This Row],[K1]:[Z4]]),4)</f>
        <v>0</v>
      </c>
      <c r="AC41" s="51">
        <f>LARGE((Table6[[#This Row],[K1]:[Z4]]),5)</f>
        <v>0</v>
      </c>
      <c r="AD41" s="51">
        <f>LARGE((Table6[[#This Row],[K1]:[Z4]]),6)</f>
        <v>0</v>
      </c>
      <c r="AE41" s="51">
        <f>LARGE((Table6[[#This Row],[K1]:[Z4]]),7)</f>
        <v>0</v>
      </c>
      <c r="AF41" s="51">
        <f>LARGE((Table6[[#This Row],[K1]:[Z4]]),8)</f>
        <v>0</v>
      </c>
      <c r="AG41" s="51">
        <f>LARGE((Table6[[#This Row],[K1]:[Z4]]),9)</f>
        <v>0</v>
      </c>
      <c r="AH41" s="38">
        <f>LARGE((Table6[[#This Row],[K1]:[Z4]]),10)</f>
        <v>0</v>
      </c>
      <c r="AI41" s="45">
        <f t="shared" si="0"/>
        <v>0</v>
      </c>
      <c r="AJ41" s="37">
        <f t="shared" si="1"/>
        <v>12</v>
      </c>
      <c r="AK41" s="11"/>
    </row>
    <row r="42" spans="1:37" ht="14.4" x14ac:dyDescent="0.3">
      <c r="A42" s="59">
        <v>39</v>
      </c>
      <c r="B42" s="51">
        <v>449</v>
      </c>
      <c r="C42" t="str">
        <f>_xlfn.XLOOKUP(B42,Sheet2!B:B,Sheet2!C:C)</f>
        <v>Jose Slamet</v>
      </c>
      <c r="D42" s="52">
        <f>_xlfn.XLOOKUP(B42,Sheet2!B:B,Sheet2!G:G)</f>
        <v>39517</v>
      </c>
      <c r="E42" s="51" t="str">
        <f>_xlfn.XLOOKUP(B42,Sheet2!B:B,Sheet2!H:H)</f>
        <v>WP</v>
      </c>
      <c r="F42" s="30" t="str">
        <f>_xlfn.XLOOKUP(B42,Sheet2!B:B,Sheet2!D:D)</f>
        <v>LNK</v>
      </c>
      <c r="G42" s="37">
        <v>2</v>
      </c>
      <c r="H42" s="51">
        <v>3</v>
      </c>
      <c r="I42" s="51">
        <v>3</v>
      </c>
      <c r="J42" s="51">
        <v>3</v>
      </c>
      <c r="K42" s="49">
        <f>SUM(Table6[[#This Row],[SARMC 1]:[SARMC 4]])</f>
        <v>11</v>
      </c>
      <c r="L42" s="37">
        <v>0</v>
      </c>
      <c r="M42" s="51">
        <v>0</v>
      </c>
      <c r="N42" s="38">
        <v>0</v>
      </c>
      <c r="O42" s="37">
        <v>0</v>
      </c>
      <c r="P42" s="51">
        <v>0</v>
      </c>
      <c r="Q42" s="38">
        <v>0</v>
      </c>
      <c r="R42" s="37">
        <v>0</v>
      </c>
      <c r="S42" s="51">
        <v>0</v>
      </c>
      <c r="T42" s="38">
        <v>0</v>
      </c>
      <c r="U42" s="37">
        <v>0</v>
      </c>
      <c r="V42" s="51">
        <v>0</v>
      </c>
      <c r="W42" s="51">
        <v>0</v>
      </c>
      <c r="X42" s="38">
        <v>0</v>
      </c>
      <c r="Y42" s="37">
        <f>LARGE((Table6[[#This Row],[K1]:[Z4]]),1)</f>
        <v>0</v>
      </c>
      <c r="Z42" s="51">
        <f>LARGE((Table6[[#This Row],[K1]:[Z4]]),2)</f>
        <v>0</v>
      </c>
      <c r="AA42" s="51">
        <f>LARGE((Table6[[#This Row],[K1]:[Z4]]),3)</f>
        <v>0</v>
      </c>
      <c r="AB42" s="51">
        <f>LARGE((Table6[[#This Row],[K1]:[Z4]]),4)</f>
        <v>0</v>
      </c>
      <c r="AC42" s="51">
        <f>LARGE((Table6[[#This Row],[K1]:[Z4]]),5)</f>
        <v>0</v>
      </c>
      <c r="AD42" s="51">
        <f>LARGE((Table6[[#This Row],[K1]:[Z4]]),6)</f>
        <v>0</v>
      </c>
      <c r="AE42" s="51">
        <f>LARGE((Table6[[#This Row],[K1]:[Z4]]),7)</f>
        <v>0</v>
      </c>
      <c r="AF42" s="51">
        <f>LARGE((Table6[[#This Row],[K1]:[Z4]]),8)</f>
        <v>0</v>
      </c>
      <c r="AG42" s="51">
        <f>LARGE((Table6[[#This Row],[K1]:[Z4]]),9)</f>
        <v>0</v>
      </c>
      <c r="AH42" s="38">
        <f>LARGE((Table6[[#This Row],[K1]:[Z4]]),10)</f>
        <v>0</v>
      </c>
      <c r="AI42" s="45">
        <f t="shared" si="0"/>
        <v>0</v>
      </c>
      <c r="AJ42" s="37">
        <f t="shared" si="1"/>
        <v>11</v>
      </c>
      <c r="AK42" s="11"/>
    </row>
    <row r="43" spans="1:37" ht="14.4" x14ac:dyDescent="0.3">
      <c r="A43" s="59">
        <v>40</v>
      </c>
      <c r="B43" s="51">
        <v>418</v>
      </c>
      <c r="C43" t="str">
        <f>_xlfn.XLOOKUP(B43,Sheet2!B:B,Sheet2!C:C)</f>
        <v>Raffaele Musso</v>
      </c>
      <c r="D43" s="52">
        <f>_xlfn.XLOOKUP(B43,Sheet2!B:B,Sheet2!G:G)</f>
        <v>41967</v>
      </c>
      <c r="E43" s="51" t="str">
        <f>_xlfn.XLOOKUP(B43,Sheet2!B:B,Sheet2!H:H)</f>
        <v>WP</v>
      </c>
      <c r="F43" s="30" t="str">
        <f>_xlfn.XLOOKUP(B43,Sheet2!B:B,Sheet2!D:D)</f>
        <v>EXPRIT</v>
      </c>
      <c r="G43" s="37">
        <v>2</v>
      </c>
      <c r="H43" s="51">
        <v>3</v>
      </c>
      <c r="I43" s="51">
        <v>3</v>
      </c>
      <c r="J43" s="51">
        <v>3</v>
      </c>
      <c r="K43" s="49">
        <f>SUM(Table6[[#This Row],[SARMC 1]:[SARMC 4]])</f>
        <v>11</v>
      </c>
      <c r="L43" s="37">
        <v>0</v>
      </c>
      <c r="M43" s="51">
        <v>0</v>
      </c>
      <c r="N43" s="38">
        <v>0</v>
      </c>
      <c r="O43" s="37">
        <v>0</v>
      </c>
      <c r="P43" s="51">
        <v>0</v>
      </c>
      <c r="Q43" s="38">
        <v>0</v>
      </c>
      <c r="R43" s="37">
        <v>0</v>
      </c>
      <c r="S43" s="51">
        <v>0</v>
      </c>
      <c r="T43" s="38">
        <v>0</v>
      </c>
      <c r="U43" s="37">
        <v>0</v>
      </c>
      <c r="V43" s="51">
        <v>0</v>
      </c>
      <c r="W43" s="51">
        <v>0</v>
      </c>
      <c r="X43" s="38">
        <v>0</v>
      </c>
      <c r="Y43" s="37">
        <f>LARGE((Table6[[#This Row],[K1]:[Z4]]),1)</f>
        <v>0</v>
      </c>
      <c r="Z43" s="51">
        <f>LARGE((Table6[[#This Row],[K1]:[Z4]]),2)</f>
        <v>0</v>
      </c>
      <c r="AA43" s="51">
        <f>LARGE((Table6[[#This Row],[K1]:[Z4]]),3)</f>
        <v>0</v>
      </c>
      <c r="AB43" s="51">
        <f>LARGE((Table6[[#This Row],[K1]:[Z4]]),4)</f>
        <v>0</v>
      </c>
      <c r="AC43" s="51">
        <f>LARGE((Table6[[#This Row],[K1]:[Z4]]),5)</f>
        <v>0</v>
      </c>
      <c r="AD43" s="51">
        <f>LARGE((Table6[[#This Row],[K1]:[Z4]]),6)</f>
        <v>0</v>
      </c>
      <c r="AE43" s="51">
        <f>LARGE((Table6[[#This Row],[K1]:[Z4]]),7)</f>
        <v>0</v>
      </c>
      <c r="AF43" s="51">
        <f>LARGE((Table6[[#This Row],[K1]:[Z4]]),8)</f>
        <v>0</v>
      </c>
      <c r="AG43" s="51">
        <f>LARGE((Table6[[#This Row],[K1]:[Z4]]),9)</f>
        <v>0</v>
      </c>
      <c r="AH43" s="38">
        <f>LARGE((Table6[[#This Row],[K1]:[Z4]]),10)</f>
        <v>0</v>
      </c>
      <c r="AI43" s="45">
        <f t="shared" si="0"/>
        <v>0</v>
      </c>
      <c r="AJ43" s="37">
        <f t="shared" si="1"/>
        <v>11</v>
      </c>
      <c r="AK43" s="11"/>
    </row>
    <row r="44" spans="1:37" ht="14.4" x14ac:dyDescent="0.3">
      <c r="A44" s="59">
        <v>41</v>
      </c>
      <c r="B44" s="51">
        <v>417</v>
      </c>
      <c r="C44" t="str">
        <f>_xlfn.XLOOKUP(B44,Sheet2!B:B,Sheet2!C:C)</f>
        <v>Ruan Lewis</v>
      </c>
      <c r="D44" s="52">
        <f>_xlfn.XLOOKUP(B44,Sheet2!B:B,Sheet2!G:G)</f>
        <v>0</v>
      </c>
      <c r="E44" s="51" t="str">
        <f>_xlfn.XLOOKUP(B44,Sheet2!B:B,Sheet2!H:H)</f>
        <v>WP</v>
      </c>
      <c r="F44" s="30" t="str">
        <f>_xlfn.XLOOKUP(B44,Sheet2!B:B,Sheet2!D:D)</f>
        <v>CRG</v>
      </c>
      <c r="G44" s="37">
        <v>3</v>
      </c>
      <c r="H44" s="51">
        <v>2</v>
      </c>
      <c r="I44" s="51">
        <v>3</v>
      </c>
      <c r="J44" s="51">
        <v>3</v>
      </c>
      <c r="K44" s="49">
        <f>SUM(Table6[[#This Row],[SARMC 1]:[SARMC 4]])</f>
        <v>11</v>
      </c>
      <c r="L44" s="37">
        <v>0</v>
      </c>
      <c r="M44" s="51">
        <v>0</v>
      </c>
      <c r="N44" s="38">
        <v>0</v>
      </c>
      <c r="O44" s="37">
        <v>0</v>
      </c>
      <c r="P44" s="51">
        <v>0</v>
      </c>
      <c r="Q44" s="38">
        <v>0</v>
      </c>
      <c r="R44" s="37">
        <v>0</v>
      </c>
      <c r="S44" s="51">
        <v>0</v>
      </c>
      <c r="T44" s="38">
        <v>0</v>
      </c>
      <c r="U44" s="37">
        <v>0</v>
      </c>
      <c r="V44" s="51">
        <v>0</v>
      </c>
      <c r="W44" s="51">
        <v>0</v>
      </c>
      <c r="X44" s="38">
        <v>0</v>
      </c>
      <c r="Y44" s="37">
        <f>LARGE((Table6[[#This Row],[K1]:[Z4]]),1)</f>
        <v>0</v>
      </c>
      <c r="Z44" s="51">
        <f>LARGE((Table6[[#This Row],[K1]:[Z4]]),2)</f>
        <v>0</v>
      </c>
      <c r="AA44" s="51">
        <f>LARGE((Table6[[#This Row],[K1]:[Z4]]),3)</f>
        <v>0</v>
      </c>
      <c r="AB44" s="51">
        <f>LARGE((Table6[[#This Row],[K1]:[Z4]]),4)</f>
        <v>0</v>
      </c>
      <c r="AC44" s="51">
        <f>LARGE((Table6[[#This Row],[K1]:[Z4]]),5)</f>
        <v>0</v>
      </c>
      <c r="AD44" s="51">
        <f>LARGE((Table6[[#This Row],[K1]:[Z4]]),6)</f>
        <v>0</v>
      </c>
      <c r="AE44" s="51">
        <f>LARGE((Table6[[#This Row],[K1]:[Z4]]),7)</f>
        <v>0</v>
      </c>
      <c r="AF44" s="51">
        <f>LARGE((Table6[[#This Row],[K1]:[Z4]]),8)</f>
        <v>0</v>
      </c>
      <c r="AG44" s="51">
        <f>LARGE((Table6[[#This Row],[K1]:[Z4]]),9)</f>
        <v>0</v>
      </c>
      <c r="AH44" s="38">
        <f>LARGE((Table6[[#This Row],[K1]:[Z4]]),10)</f>
        <v>0</v>
      </c>
      <c r="AI44" s="45">
        <f t="shared" si="0"/>
        <v>0</v>
      </c>
      <c r="AJ44" s="37">
        <f t="shared" si="1"/>
        <v>11</v>
      </c>
      <c r="AK44" s="11"/>
    </row>
    <row r="45" spans="1:37" ht="14.4" x14ac:dyDescent="0.3">
      <c r="A45" s="59">
        <v>42</v>
      </c>
      <c r="B45" s="51">
        <v>497</v>
      </c>
      <c r="C45" t="str">
        <f>_xlfn.XLOOKUP(B45,Sheet2!B:B,Sheet2!C:C)</f>
        <v>Courtney Milleskie</v>
      </c>
      <c r="D45" s="52">
        <f>_xlfn.XLOOKUP(B45,Sheet2!B:B,Sheet2!G:G)</f>
        <v>0</v>
      </c>
      <c r="E45" s="51" t="str">
        <f>_xlfn.XLOOKUP(B45,Sheet2!B:B,Sheet2!H:H)</f>
        <v>WP</v>
      </c>
      <c r="F45" s="30" t="str">
        <f>_xlfn.XLOOKUP(B45,Sheet2!B:B,Sheet2!D:D)</f>
        <v>CRG</v>
      </c>
      <c r="G45" s="37">
        <v>3</v>
      </c>
      <c r="H45" s="51">
        <v>2</v>
      </c>
      <c r="I45" s="51">
        <v>3</v>
      </c>
      <c r="J45" s="51">
        <v>3</v>
      </c>
      <c r="K45" s="49">
        <f>SUM(Table6[[#This Row],[SARMC 1]:[SARMC 4]])</f>
        <v>11</v>
      </c>
      <c r="L45" s="37">
        <v>0</v>
      </c>
      <c r="M45" s="51">
        <v>0</v>
      </c>
      <c r="N45" s="38">
        <v>0</v>
      </c>
      <c r="O45" s="37">
        <v>0</v>
      </c>
      <c r="P45" s="51">
        <v>0</v>
      </c>
      <c r="Q45" s="38">
        <v>0</v>
      </c>
      <c r="R45" s="37">
        <v>0</v>
      </c>
      <c r="S45" s="51">
        <v>0</v>
      </c>
      <c r="T45" s="38">
        <v>0</v>
      </c>
      <c r="U45" s="37">
        <v>0</v>
      </c>
      <c r="V45" s="51">
        <v>0</v>
      </c>
      <c r="W45" s="51">
        <v>0</v>
      </c>
      <c r="X45" s="38">
        <v>0</v>
      </c>
      <c r="Y45" s="37">
        <f>LARGE((Table6[[#This Row],[K1]:[Z4]]),1)</f>
        <v>0</v>
      </c>
      <c r="Z45" s="51">
        <f>LARGE((Table6[[#This Row],[K1]:[Z4]]),2)</f>
        <v>0</v>
      </c>
      <c r="AA45" s="51">
        <f>LARGE((Table6[[#This Row],[K1]:[Z4]]),3)</f>
        <v>0</v>
      </c>
      <c r="AB45" s="51">
        <f>LARGE((Table6[[#This Row],[K1]:[Z4]]),4)</f>
        <v>0</v>
      </c>
      <c r="AC45" s="51">
        <f>LARGE((Table6[[#This Row],[K1]:[Z4]]),5)</f>
        <v>0</v>
      </c>
      <c r="AD45" s="51">
        <f>LARGE((Table6[[#This Row],[K1]:[Z4]]),6)</f>
        <v>0</v>
      </c>
      <c r="AE45" s="51">
        <f>LARGE((Table6[[#This Row],[K1]:[Z4]]),7)</f>
        <v>0</v>
      </c>
      <c r="AF45" s="51">
        <f>LARGE((Table6[[#This Row],[K1]:[Z4]]),8)</f>
        <v>0</v>
      </c>
      <c r="AG45" s="51">
        <f>LARGE((Table6[[#This Row],[K1]:[Z4]]),9)</f>
        <v>0</v>
      </c>
      <c r="AH45" s="38">
        <f>LARGE((Table6[[#This Row],[K1]:[Z4]]),10)</f>
        <v>0</v>
      </c>
      <c r="AI45" s="45">
        <f t="shared" si="0"/>
        <v>0</v>
      </c>
      <c r="AJ45" s="37">
        <f t="shared" si="1"/>
        <v>11</v>
      </c>
      <c r="AK45" s="11"/>
    </row>
    <row r="46" spans="1:37" ht="14.4" x14ac:dyDescent="0.3">
      <c r="A46" s="59">
        <v>43</v>
      </c>
      <c r="B46" s="51">
        <v>496</v>
      </c>
      <c r="C46" t="str">
        <f>_xlfn.XLOOKUP(B46,Sheet2!B:B,Sheet2!C:C)</f>
        <v>Jordan Wilson</v>
      </c>
      <c r="D46" s="52">
        <f>_xlfn.XLOOKUP(B46,Sheet2!B:B,Sheet2!G:G)</f>
        <v>44491</v>
      </c>
      <c r="E46" s="51" t="str">
        <f>_xlfn.XLOOKUP(B46,Sheet2!B:B,Sheet2!H:H)</f>
        <v>KZN</v>
      </c>
      <c r="F46" s="30" t="str">
        <f>_xlfn.XLOOKUP(B46,Sheet2!B:B,Sheet2!D:D)</f>
        <v>OTK</v>
      </c>
      <c r="G46" s="37">
        <v>3</v>
      </c>
      <c r="H46" s="51">
        <v>3</v>
      </c>
      <c r="I46" s="51">
        <v>0</v>
      </c>
      <c r="J46" s="51">
        <v>3</v>
      </c>
      <c r="K46" s="49">
        <f>SUM(Table6[[#This Row],[SARMC 1]:[SARMC 4]])</f>
        <v>9</v>
      </c>
      <c r="L46" s="37">
        <v>0</v>
      </c>
      <c r="M46" s="51">
        <v>0</v>
      </c>
      <c r="N46" s="38">
        <v>0</v>
      </c>
      <c r="O46" s="37">
        <v>0</v>
      </c>
      <c r="P46" s="51">
        <v>0</v>
      </c>
      <c r="Q46" s="38">
        <v>0</v>
      </c>
      <c r="R46" s="37">
        <v>0</v>
      </c>
      <c r="S46" s="51">
        <v>0</v>
      </c>
      <c r="T46" s="38">
        <v>0</v>
      </c>
      <c r="U46" s="37">
        <v>0</v>
      </c>
      <c r="V46" s="51">
        <v>0</v>
      </c>
      <c r="W46" s="51">
        <v>0</v>
      </c>
      <c r="X46" s="38">
        <v>0</v>
      </c>
      <c r="Y46" s="37">
        <f>LARGE((Table6[[#This Row],[K1]:[Z4]]),1)</f>
        <v>0</v>
      </c>
      <c r="Z46" s="51">
        <f>LARGE((Table6[[#This Row],[K1]:[Z4]]),2)</f>
        <v>0</v>
      </c>
      <c r="AA46" s="51">
        <f>LARGE((Table6[[#This Row],[K1]:[Z4]]),3)</f>
        <v>0</v>
      </c>
      <c r="AB46" s="51">
        <f>LARGE((Table6[[#This Row],[K1]:[Z4]]),4)</f>
        <v>0</v>
      </c>
      <c r="AC46" s="51">
        <f>LARGE((Table6[[#This Row],[K1]:[Z4]]),5)</f>
        <v>0</v>
      </c>
      <c r="AD46" s="51">
        <f>LARGE((Table6[[#This Row],[K1]:[Z4]]),6)</f>
        <v>0</v>
      </c>
      <c r="AE46" s="51">
        <f>LARGE((Table6[[#This Row],[K1]:[Z4]]),7)</f>
        <v>0</v>
      </c>
      <c r="AF46" s="51">
        <f>LARGE((Table6[[#This Row],[K1]:[Z4]]),8)</f>
        <v>0</v>
      </c>
      <c r="AG46" s="51">
        <f>LARGE((Table6[[#This Row],[K1]:[Z4]]),9)</f>
        <v>0</v>
      </c>
      <c r="AH46" s="38">
        <f>LARGE((Table6[[#This Row],[K1]:[Z4]]),10)</f>
        <v>0</v>
      </c>
      <c r="AI46" s="45">
        <f t="shared" si="0"/>
        <v>0</v>
      </c>
      <c r="AJ46" s="37">
        <f t="shared" si="1"/>
        <v>9</v>
      </c>
      <c r="AK46" s="11"/>
    </row>
    <row r="47" spans="1:37" ht="14.4" x14ac:dyDescent="0.3">
      <c r="A47" s="59">
        <v>44</v>
      </c>
      <c r="B47" s="51">
        <v>476</v>
      </c>
      <c r="C47" t="str">
        <f>_xlfn.XLOOKUP(B47,Sheet2!B:B,Sheet2!C:C)</f>
        <v>Aiden Beaumont</v>
      </c>
      <c r="D47" s="52">
        <f>_xlfn.XLOOKUP(B47,Sheet2!B:B,Sheet2!G:G)</f>
        <v>19860</v>
      </c>
      <c r="E47" s="51" t="str">
        <f>_xlfn.XLOOKUP(B47,Sheet2!B:B,Sheet2!H:H)</f>
        <v>WP</v>
      </c>
      <c r="F47" s="30" t="str">
        <f>_xlfn.XLOOKUP(B47,Sheet2!B:B,Sheet2!D:D)</f>
        <v>CRG</v>
      </c>
      <c r="G47" s="37">
        <v>3</v>
      </c>
      <c r="H47" s="51">
        <v>3</v>
      </c>
      <c r="I47" s="51">
        <v>0</v>
      </c>
      <c r="J47" s="51">
        <v>2</v>
      </c>
      <c r="K47" s="49">
        <f>SUM(Table6[[#This Row],[SARMC 1]:[SARMC 4]])</f>
        <v>8</v>
      </c>
      <c r="L47" s="37">
        <v>0</v>
      </c>
      <c r="M47" s="51">
        <v>0</v>
      </c>
      <c r="N47" s="38">
        <v>0</v>
      </c>
      <c r="O47" s="37">
        <v>0</v>
      </c>
      <c r="P47" s="51">
        <v>0</v>
      </c>
      <c r="Q47" s="38">
        <v>0</v>
      </c>
      <c r="R47" s="37">
        <v>0</v>
      </c>
      <c r="S47" s="51">
        <v>0</v>
      </c>
      <c r="T47" s="38">
        <v>0</v>
      </c>
      <c r="U47" s="37">
        <v>0</v>
      </c>
      <c r="V47" s="51">
        <v>0</v>
      </c>
      <c r="W47" s="51">
        <v>0</v>
      </c>
      <c r="X47" s="38">
        <v>0</v>
      </c>
      <c r="Y47" s="37">
        <f>LARGE((Table6[[#This Row],[K1]:[Z4]]),1)</f>
        <v>0</v>
      </c>
      <c r="Z47" s="51">
        <f>LARGE((Table6[[#This Row],[K1]:[Z4]]),2)</f>
        <v>0</v>
      </c>
      <c r="AA47" s="51">
        <f>LARGE((Table6[[#This Row],[K1]:[Z4]]),3)</f>
        <v>0</v>
      </c>
      <c r="AB47" s="51">
        <f>LARGE((Table6[[#This Row],[K1]:[Z4]]),4)</f>
        <v>0</v>
      </c>
      <c r="AC47" s="51">
        <f>LARGE((Table6[[#This Row],[K1]:[Z4]]),5)</f>
        <v>0</v>
      </c>
      <c r="AD47" s="51">
        <f>LARGE((Table6[[#This Row],[K1]:[Z4]]),6)</f>
        <v>0</v>
      </c>
      <c r="AE47" s="51">
        <f>LARGE((Table6[[#This Row],[K1]:[Z4]]),7)</f>
        <v>0</v>
      </c>
      <c r="AF47" s="51">
        <f>LARGE((Table6[[#This Row],[K1]:[Z4]]),8)</f>
        <v>0</v>
      </c>
      <c r="AG47" s="51">
        <f>LARGE((Table6[[#This Row],[K1]:[Z4]]),9)</f>
        <v>0</v>
      </c>
      <c r="AH47" s="38">
        <f>LARGE((Table6[[#This Row],[K1]:[Z4]]),10)</f>
        <v>0</v>
      </c>
      <c r="AI47" s="45">
        <f t="shared" si="0"/>
        <v>0</v>
      </c>
      <c r="AJ47" s="37">
        <f t="shared" si="1"/>
        <v>8</v>
      </c>
      <c r="AK47" s="11"/>
    </row>
    <row r="48" spans="1:37" ht="14.4" x14ac:dyDescent="0.3">
      <c r="A48" s="59">
        <v>45</v>
      </c>
      <c r="B48" s="51">
        <v>472</v>
      </c>
      <c r="C48" t="str">
        <f>_xlfn.XLOOKUP(B48,Sheet2!B:B,Sheet2!C:C)</f>
        <v>Kirthan Cross</v>
      </c>
      <c r="D48" s="52">
        <f>_xlfn.XLOOKUP(B48,Sheet2!B:B,Sheet2!G:G)</f>
        <v>44448</v>
      </c>
      <c r="E48" s="51" t="str">
        <f>_xlfn.XLOOKUP(B48,Sheet2!B:B,Sheet2!H:H)</f>
        <v>KZN</v>
      </c>
      <c r="F48" s="30" t="str">
        <f>_xlfn.XLOOKUP(B48,Sheet2!B:B,Sheet2!D:D)</f>
        <v>LN</v>
      </c>
      <c r="G48" s="37">
        <v>3</v>
      </c>
      <c r="H48" s="51">
        <v>3</v>
      </c>
      <c r="I48" s="51">
        <v>0</v>
      </c>
      <c r="J48" s="51">
        <v>0</v>
      </c>
      <c r="K48" s="49">
        <f>SUM(Table6[[#This Row],[SARMC 1]:[SARMC 4]])</f>
        <v>6</v>
      </c>
      <c r="L48" s="37">
        <v>0</v>
      </c>
      <c r="M48" s="51">
        <v>0</v>
      </c>
      <c r="N48" s="38">
        <v>0</v>
      </c>
      <c r="O48" s="37">
        <v>0</v>
      </c>
      <c r="P48" s="51">
        <v>0</v>
      </c>
      <c r="Q48" s="38">
        <v>0</v>
      </c>
      <c r="R48" s="37">
        <v>0</v>
      </c>
      <c r="S48" s="51">
        <v>0</v>
      </c>
      <c r="T48" s="38">
        <v>0</v>
      </c>
      <c r="U48" s="37">
        <v>0</v>
      </c>
      <c r="V48" s="51">
        <v>0</v>
      </c>
      <c r="W48" s="51">
        <v>0</v>
      </c>
      <c r="X48" s="38">
        <v>0</v>
      </c>
      <c r="Y48" s="37">
        <f>LARGE((Table6[[#This Row],[K1]:[Z4]]),1)</f>
        <v>0</v>
      </c>
      <c r="Z48" s="51">
        <f>LARGE((Table6[[#This Row],[K1]:[Z4]]),2)</f>
        <v>0</v>
      </c>
      <c r="AA48" s="51">
        <f>LARGE((Table6[[#This Row],[K1]:[Z4]]),3)</f>
        <v>0</v>
      </c>
      <c r="AB48" s="51">
        <f>LARGE((Table6[[#This Row],[K1]:[Z4]]),4)</f>
        <v>0</v>
      </c>
      <c r="AC48" s="51">
        <f>LARGE((Table6[[#This Row],[K1]:[Z4]]),5)</f>
        <v>0</v>
      </c>
      <c r="AD48" s="51">
        <f>LARGE((Table6[[#This Row],[K1]:[Z4]]),6)</f>
        <v>0</v>
      </c>
      <c r="AE48" s="51">
        <f>LARGE((Table6[[#This Row],[K1]:[Z4]]),7)</f>
        <v>0</v>
      </c>
      <c r="AF48" s="51">
        <f>LARGE((Table6[[#This Row],[K1]:[Z4]]),8)</f>
        <v>0</v>
      </c>
      <c r="AG48" s="51">
        <f>LARGE((Table6[[#This Row],[K1]:[Z4]]),9)</f>
        <v>0</v>
      </c>
      <c r="AH48" s="38">
        <f>LARGE((Table6[[#This Row],[K1]:[Z4]]),10)</f>
        <v>0</v>
      </c>
      <c r="AI48" s="45">
        <f t="shared" si="0"/>
        <v>0</v>
      </c>
      <c r="AJ48" s="37">
        <f t="shared" si="1"/>
        <v>6</v>
      </c>
      <c r="AK48" s="11"/>
    </row>
    <row r="49" spans="1:37" ht="14.4" x14ac:dyDescent="0.3">
      <c r="A49" s="59">
        <v>46</v>
      </c>
      <c r="B49" s="51">
        <v>470</v>
      </c>
      <c r="C49" t="str">
        <f>_xlfn.XLOOKUP(B49,Sheet2!B:B,Sheet2!C:C)</f>
        <v>Aurora Van Til</v>
      </c>
      <c r="D49" s="52">
        <v>0</v>
      </c>
      <c r="E49" s="51" t="str">
        <f>_xlfn.XLOOKUP(B49,Sheet2!B:B,Sheet2!H:H)</f>
        <v>WP</v>
      </c>
      <c r="F49" s="30" t="str">
        <f>_xlfn.XLOOKUP(B49,Sheet2!B:B,Sheet2!D:D)</f>
        <v>EKR</v>
      </c>
      <c r="G49" s="37">
        <v>3</v>
      </c>
      <c r="H49" s="51">
        <v>2</v>
      </c>
      <c r="I49" s="51">
        <v>0</v>
      </c>
      <c r="J49" s="51">
        <v>0</v>
      </c>
      <c r="K49" s="49">
        <f>SUM(Table6[[#This Row],[SARMC 1]:[SARMC 4]])</f>
        <v>5</v>
      </c>
      <c r="L49" s="37">
        <v>0</v>
      </c>
      <c r="M49" s="51">
        <v>0</v>
      </c>
      <c r="N49" s="38">
        <v>0</v>
      </c>
      <c r="O49" s="37">
        <v>0</v>
      </c>
      <c r="P49" s="51">
        <v>0</v>
      </c>
      <c r="Q49" s="38">
        <v>0</v>
      </c>
      <c r="R49" s="37">
        <v>0</v>
      </c>
      <c r="S49" s="51">
        <v>0</v>
      </c>
      <c r="T49" s="38">
        <v>0</v>
      </c>
      <c r="U49" s="37">
        <v>0</v>
      </c>
      <c r="V49" s="51">
        <v>0</v>
      </c>
      <c r="W49" s="51">
        <v>0</v>
      </c>
      <c r="X49" s="38">
        <v>0</v>
      </c>
      <c r="Y49" s="37">
        <f>LARGE((Table6[[#This Row],[K1]:[Z4]]),1)</f>
        <v>0</v>
      </c>
      <c r="Z49" s="51">
        <f>LARGE((Table6[[#This Row],[K1]:[Z4]]),2)</f>
        <v>0</v>
      </c>
      <c r="AA49" s="51">
        <f>LARGE((Table6[[#This Row],[K1]:[Z4]]),3)</f>
        <v>0</v>
      </c>
      <c r="AB49" s="51">
        <f>LARGE((Table6[[#This Row],[K1]:[Z4]]),4)</f>
        <v>0</v>
      </c>
      <c r="AC49" s="51">
        <f>LARGE((Table6[[#This Row],[K1]:[Z4]]),5)</f>
        <v>0</v>
      </c>
      <c r="AD49" s="51">
        <f>LARGE((Table6[[#This Row],[K1]:[Z4]]),6)</f>
        <v>0</v>
      </c>
      <c r="AE49" s="51">
        <f>LARGE((Table6[[#This Row],[K1]:[Z4]]),7)</f>
        <v>0</v>
      </c>
      <c r="AF49" s="51">
        <f>LARGE((Table6[[#This Row],[K1]:[Z4]]),8)</f>
        <v>0</v>
      </c>
      <c r="AG49" s="51">
        <f>LARGE((Table6[[#This Row],[K1]:[Z4]]),9)</f>
        <v>0</v>
      </c>
      <c r="AH49" s="38">
        <f>LARGE((Table6[[#This Row],[K1]:[Z4]]),10)</f>
        <v>0</v>
      </c>
      <c r="AI49" s="45">
        <f t="shared" si="0"/>
        <v>0</v>
      </c>
      <c r="AJ49" s="37">
        <f t="shared" si="1"/>
        <v>5</v>
      </c>
      <c r="AK49" s="11"/>
    </row>
    <row r="50" spans="1:37" ht="14.4" x14ac:dyDescent="0.3">
      <c r="A50" s="59">
        <v>47</v>
      </c>
      <c r="B50" s="51">
        <v>413</v>
      </c>
      <c r="C50" t="str">
        <f>_xlfn.XLOOKUP(B50,Sheet2!B:B,Sheet2!C:C)</f>
        <v>Akeel Singh</v>
      </c>
      <c r="D50" s="52">
        <f>_xlfn.XLOOKUP(B50,Sheet2!B:B,Sheet2!G:G)</f>
        <v>0</v>
      </c>
      <c r="E50" s="51" t="str">
        <f>_xlfn.XLOOKUP(B50,Sheet2!B:B,Sheet2!H:H)</f>
        <v>KZN</v>
      </c>
      <c r="F50" s="30" t="str">
        <f>_xlfn.XLOOKUP(B50,Sheet2!B:B,Sheet2!D:D)</f>
        <v>TONY</v>
      </c>
      <c r="G50" s="37">
        <v>0</v>
      </c>
      <c r="H50" s="51">
        <v>3</v>
      </c>
      <c r="I50" s="51">
        <v>0</v>
      </c>
      <c r="J50" s="51">
        <v>0</v>
      </c>
      <c r="K50" s="60">
        <f>SUM(Table6[[#This Row],[SARMC 1]:[SARMC 4]])</f>
        <v>3</v>
      </c>
      <c r="L50" s="61">
        <v>0</v>
      </c>
      <c r="M50" s="62">
        <v>0</v>
      </c>
      <c r="N50" s="63">
        <v>0</v>
      </c>
      <c r="O50" s="61">
        <v>0</v>
      </c>
      <c r="P50" s="62">
        <v>0</v>
      </c>
      <c r="Q50" s="63">
        <v>0</v>
      </c>
      <c r="R50" s="61">
        <v>0</v>
      </c>
      <c r="S50" s="62">
        <v>0</v>
      </c>
      <c r="T50" s="63">
        <v>0</v>
      </c>
      <c r="U50" s="61">
        <v>0</v>
      </c>
      <c r="V50" s="62">
        <v>0</v>
      </c>
      <c r="W50" s="62">
        <v>0</v>
      </c>
      <c r="X50" s="63">
        <v>0</v>
      </c>
      <c r="Y50" s="37">
        <f>LARGE((Table6[[#This Row],[K1]:[Z4]]),1)</f>
        <v>0</v>
      </c>
      <c r="Z50" s="51">
        <f>LARGE((Table6[[#This Row],[K1]:[Z4]]),2)</f>
        <v>0</v>
      </c>
      <c r="AA50" s="51">
        <f>LARGE((Table6[[#This Row],[K1]:[Z4]]),3)</f>
        <v>0</v>
      </c>
      <c r="AB50" s="51">
        <f>LARGE((Table6[[#This Row],[K1]:[Z4]]),4)</f>
        <v>0</v>
      </c>
      <c r="AC50" s="51">
        <f>LARGE((Table6[[#This Row],[K1]:[Z4]]),5)</f>
        <v>0</v>
      </c>
      <c r="AD50" s="51">
        <f>LARGE((Table6[[#This Row],[K1]:[Z4]]),6)</f>
        <v>0</v>
      </c>
      <c r="AE50" s="51">
        <f>LARGE((Table6[[#This Row],[K1]:[Z4]]),7)</f>
        <v>0</v>
      </c>
      <c r="AF50" s="51">
        <f>LARGE((Table6[[#This Row],[K1]:[Z4]]),8)</f>
        <v>0</v>
      </c>
      <c r="AG50" s="51">
        <f>LARGE((Table6[[#This Row],[K1]:[Z4]]),9)</f>
        <v>0</v>
      </c>
      <c r="AH50" s="38">
        <f>LARGE((Table6[[#This Row],[K1]:[Z4]]),10)</f>
        <v>0</v>
      </c>
      <c r="AI50" s="45">
        <f t="shared" si="0"/>
        <v>0</v>
      </c>
      <c r="AJ50" s="37">
        <f t="shared" si="1"/>
        <v>3</v>
      </c>
      <c r="AK50" s="11"/>
    </row>
    <row r="51" spans="1:37" x14ac:dyDescent="0.25">
      <c r="A51" s="22"/>
      <c r="B51" s="23"/>
      <c r="C51" s="24" t="s">
        <v>45</v>
      </c>
      <c r="D51" s="31"/>
      <c r="E51" s="25"/>
      <c r="F51" s="32"/>
      <c r="G51" s="23"/>
      <c r="H51" s="23"/>
      <c r="I51" s="23"/>
      <c r="J51" s="23"/>
      <c r="K51" s="27"/>
      <c r="L51" s="22"/>
      <c r="M51" s="22">
        <f>(COUNTIF(L4:L50,"&gt;0"))</f>
        <v>22</v>
      </c>
      <c r="N51" s="22"/>
      <c r="O51" s="22"/>
      <c r="P51" s="22">
        <f>(COUNTIF(O4:O50,"&gt;0"))</f>
        <v>20</v>
      </c>
      <c r="Q51" s="22"/>
      <c r="R51" s="22"/>
      <c r="S51" s="22">
        <f>(COUNTIF(R4:R50,"&gt;0"))</f>
        <v>28</v>
      </c>
      <c r="T51" s="22"/>
      <c r="U51" s="23"/>
      <c r="V51" s="22">
        <f>(COUNTIF(U4:U50,"&gt;0"))</f>
        <v>17</v>
      </c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6"/>
      <c r="AJ51" s="27"/>
    </row>
    <row r="52" spans="1:37" x14ac:dyDescent="0.25">
      <c r="D52" s="33"/>
    </row>
  </sheetData>
  <sortState xmlns:xlrd2="http://schemas.microsoft.com/office/spreadsheetml/2017/richdata2" ref="B4:AJ50">
    <sortCondition descending="1" ref="AJ4:AJ50"/>
    <sortCondition ref="E4:E50"/>
    <sortCondition ref="B4:B50"/>
  </sortState>
  <mergeCells count="8">
    <mergeCell ref="A1:AJ1"/>
    <mergeCell ref="A2:F2"/>
    <mergeCell ref="L2:N2"/>
    <mergeCell ref="O2:Q2"/>
    <mergeCell ref="R2:T2"/>
    <mergeCell ref="U2:X2"/>
    <mergeCell ref="Y2:AH2"/>
    <mergeCell ref="G2:K2"/>
  </mergeCells>
  <phoneticPr fontId="24" type="noConversion"/>
  <conditionalFormatting sqref="B1">
    <cfRule type="duplicateValues" dxfId="51" priority="2"/>
    <cfRule type="duplicateValues" dxfId="50" priority="3"/>
    <cfRule type="duplicateValues" dxfId="49" priority="4"/>
  </conditionalFormatting>
  <conditionalFormatting sqref="B1:B1048576">
    <cfRule type="duplicateValues" dxfId="48" priority="1"/>
  </conditionalFormatting>
  <conditionalFormatting sqref="B2 B4:B1048576">
    <cfRule type="duplicateValues" dxfId="47" priority="5"/>
  </conditionalFormatting>
  <conditionalFormatting sqref="B51:B1048576 B2">
    <cfRule type="duplicateValues" dxfId="46" priority="6"/>
    <cfRule type="duplicateValues" dxfId="45" priority="10"/>
  </conditionalFormatting>
  <pageMargins left="0.23622047244094491" right="0.23622047244094491" top="0.31496062992125984" bottom="0.35433070866141736" header="0.31496062992125984" footer="0.31496062992125984"/>
  <pageSetup paperSize="9" scale="62" fitToWidth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60"/>
  <sheetViews>
    <sheetView zoomScaleNormal="100" workbookViewId="0">
      <pane xSplit="6" topLeftCell="G1" activePane="topRight" state="frozen"/>
      <selection pane="topRight" activeCell="B4" sqref="A4:AJ58"/>
    </sheetView>
  </sheetViews>
  <sheetFormatPr defaultColWidth="3.6640625" defaultRowHeight="13.8" x14ac:dyDescent="0.25"/>
  <cols>
    <col min="1" max="1" width="5" style="12" bestFit="1" customWidth="1"/>
    <col min="2" max="2" width="4.44140625" style="12" bestFit="1" customWidth="1"/>
    <col min="3" max="3" width="28.6640625" style="10" bestFit="1" customWidth="1"/>
    <col min="4" max="4" width="10.6640625" style="34" customWidth="1"/>
    <col min="5" max="5" width="8.33203125" style="12" customWidth="1"/>
    <col min="6" max="6" width="12.6640625" style="34" customWidth="1"/>
    <col min="7" max="10" width="4" style="10" customWidth="1"/>
    <col min="11" max="11" width="4" style="14" customWidth="1"/>
    <col min="12" max="14" width="4" style="12" customWidth="1"/>
    <col min="15" max="15" width="4" style="10" customWidth="1"/>
    <col min="16" max="16" width="3.88671875" style="10" customWidth="1"/>
    <col min="17" max="34" width="4" style="10" customWidth="1"/>
    <col min="35" max="35" width="7.109375" style="13" bestFit="1" customWidth="1"/>
    <col min="36" max="36" width="6.44140625" style="14" bestFit="1" customWidth="1"/>
    <col min="37" max="37" width="6.5546875" style="10" bestFit="1" customWidth="1"/>
    <col min="38" max="16384" width="3.6640625" style="10"/>
  </cols>
  <sheetData>
    <row r="1" spans="1:37" s="9" customFormat="1" ht="78.75" customHeight="1" thickBot="1" x14ac:dyDescent="0.35">
      <c r="A1" s="100" t="e" vm="1">
        <v>#VALUE!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2"/>
    </row>
    <row r="2" spans="1:37" ht="25.5" customHeight="1" x14ac:dyDescent="0.25">
      <c r="A2" s="103" t="e" vm="6">
        <v>#VALUE!</v>
      </c>
      <c r="B2" s="104"/>
      <c r="C2" s="104"/>
      <c r="D2" s="104"/>
      <c r="E2" s="104"/>
      <c r="F2" s="104"/>
      <c r="G2" s="110" t="s">
        <v>0</v>
      </c>
      <c r="H2" s="111"/>
      <c r="I2" s="111"/>
      <c r="J2" s="111"/>
      <c r="K2" s="112"/>
      <c r="L2" s="105" t="s">
        <v>1</v>
      </c>
      <c r="M2" s="106"/>
      <c r="N2" s="107"/>
      <c r="O2" s="105" t="s">
        <v>55</v>
      </c>
      <c r="P2" s="106"/>
      <c r="Q2" s="107"/>
      <c r="R2" s="105" t="s">
        <v>466</v>
      </c>
      <c r="S2" s="106"/>
      <c r="T2" s="107"/>
      <c r="U2" s="105" t="s">
        <v>3</v>
      </c>
      <c r="V2" s="108"/>
      <c r="W2" s="108"/>
      <c r="X2" s="109"/>
      <c r="Y2" s="105" t="s">
        <v>4</v>
      </c>
      <c r="Z2" s="108"/>
      <c r="AA2" s="108"/>
      <c r="AB2" s="108"/>
      <c r="AC2" s="108"/>
      <c r="AD2" s="108"/>
      <c r="AE2" s="108"/>
      <c r="AF2" s="108"/>
      <c r="AG2" s="108"/>
      <c r="AH2" s="109"/>
      <c r="AI2" s="54" t="s">
        <v>5</v>
      </c>
      <c r="AJ2" s="55" t="s">
        <v>6</v>
      </c>
    </row>
    <row r="3" spans="1:37" ht="68.400000000000006" thickBot="1" x14ac:dyDescent="0.3">
      <c r="A3" s="56" t="s">
        <v>7</v>
      </c>
      <c r="B3" s="35" t="s">
        <v>8</v>
      </c>
      <c r="C3" s="21" t="s">
        <v>9</v>
      </c>
      <c r="D3" s="28" t="s">
        <v>10</v>
      </c>
      <c r="E3" s="36" t="s">
        <v>11</v>
      </c>
      <c r="F3" s="29" t="s">
        <v>12</v>
      </c>
      <c r="G3" s="39" t="s">
        <v>13</v>
      </c>
      <c r="H3" s="40" t="s">
        <v>14</v>
      </c>
      <c r="I3" s="41" t="s">
        <v>15</v>
      </c>
      <c r="J3" s="50" t="s">
        <v>16</v>
      </c>
      <c r="K3" s="57" t="s">
        <v>17</v>
      </c>
      <c r="L3" s="39" t="s">
        <v>18</v>
      </c>
      <c r="M3" s="41" t="s">
        <v>19</v>
      </c>
      <c r="N3" s="42" t="s">
        <v>20</v>
      </c>
      <c r="O3" s="18" t="s">
        <v>438</v>
      </c>
      <c r="P3" s="16" t="s">
        <v>439</v>
      </c>
      <c r="Q3" s="19" t="s">
        <v>440</v>
      </c>
      <c r="R3" s="18" t="s">
        <v>21</v>
      </c>
      <c r="S3" s="16" t="s">
        <v>22</v>
      </c>
      <c r="T3" s="19" t="s">
        <v>23</v>
      </c>
      <c r="U3" s="70" t="s">
        <v>441</v>
      </c>
      <c r="V3" s="71" t="s">
        <v>442</v>
      </c>
      <c r="W3" s="71" t="s">
        <v>443</v>
      </c>
      <c r="X3" s="17" t="s">
        <v>24</v>
      </c>
      <c r="Y3" s="43" t="s">
        <v>25</v>
      </c>
      <c r="Z3" s="35" t="s">
        <v>26</v>
      </c>
      <c r="AA3" s="35" t="s">
        <v>27</v>
      </c>
      <c r="AB3" s="35" t="s">
        <v>28</v>
      </c>
      <c r="AC3" s="35" t="s">
        <v>29</v>
      </c>
      <c r="AD3" s="35" t="s">
        <v>30</v>
      </c>
      <c r="AE3" s="35" t="s">
        <v>31</v>
      </c>
      <c r="AF3" s="35" t="s">
        <v>32</v>
      </c>
      <c r="AG3" s="35" t="s">
        <v>33</v>
      </c>
      <c r="AH3" s="44" t="s">
        <v>34</v>
      </c>
      <c r="AI3" s="20" t="s">
        <v>35</v>
      </c>
      <c r="AJ3" s="58" t="s">
        <v>5</v>
      </c>
    </row>
    <row r="4" spans="1:37" ht="14.4" customHeight="1" x14ac:dyDescent="0.3">
      <c r="A4" s="59">
        <v>1</v>
      </c>
      <c r="B4" s="51">
        <v>299</v>
      </c>
      <c r="C4" t="str">
        <f>_xlfn.XLOOKUP(B4,Sheet2!B:B,Sheet2!C:C)</f>
        <v>Muhammad Wally</v>
      </c>
      <c r="D4" s="52" t="str">
        <f>_xlfn.XLOOKUP(B4,Sheet2!B:B,Sheet2!G:G)</f>
        <v>04615</v>
      </c>
      <c r="E4" s="51" t="str">
        <f>_xlfn.XLOOKUP(B4,Sheet2!B:B,Sheet2!H:H)</f>
        <v>NR</v>
      </c>
      <c r="F4" s="30" t="s">
        <v>330</v>
      </c>
      <c r="G4" s="123">
        <v>0</v>
      </c>
      <c r="H4" s="124">
        <v>3</v>
      </c>
      <c r="I4" s="124">
        <v>3</v>
      </c>
      <c r="J4" s="124">
        <v>3</v>
      </c>
      <c r="K4" s="125">
        <f>SUM(Table62345[[#This Row],[SARMC 1]:[SARMC 4]])</f>
        <v>9</v>
      </c>
      <c r="L4" s="123">
        <v>22</v>
      </c>
      <c r="M4" s="124">
        <v>18</v>
      </c>
      <c r="N4" s="126">
        <v>27</v>
      </c>
      <c r="O4" s="123">
        <v>7</v>
      </c>
      <c r="P4" s="124">
        <v>0</v>
      </c>
      <c r="Q4" s="126">
        <v>0</v>
      </c>
      <c r="R4" s="123">
        <v>30</v>
      </c>
      <c r="S4" s="124">
        <v>32</v>
      </c>
      <c r="T4" s="126">
        <v>35</v>
      </c>
      <c r="U4" s="123">
        <v>35</v>
      </c>
      <c r="V4" s="124">
        <v>35</v>
      </c>
      <c r="W4" s="124">
        <v>35</v>
      </c>
      <c r="X4" s="126">
        <v>35</v>
      </c>
      <c r="Y4" s="127">
        <f>LARGE((Table62345[[#This Row],[K1]:[Z4]]),1)</f>
        <v>35</v>
      </c>
      <c r="Z4" s="128">
        <f>LARGE((Table62345[[#This Row],[K1]:[Z4]]),2)</f>
        <v>35</v>
      </c>
      <c r="AA4" s="128">
        <f>LARGE((Table62345[[#This Row],[K1]:[Z4]]),3)</f>
        <v>35</v>
      </c>
      <c r="AB4" s="128">
        <f>LARGE((Table62345[[#This Row],[K1]:[Z4]]),4)</f>
        <v>35</v>
      </c>
      <c r="AC4" s="128">
        <f>LARGE((Table62345[[#This Row],[K1]:[Z4]]),5)</f>
        <v>35</v>
      </c>
      <c r="AD4" s="128">
        <f>LARGE((Table62345[[#This Row],[K1]:[Z4]]),6)</f>
        <v>32</v>
      </c>
      <c r="AE4" s="128">
        <f>LARGE((Table62345[[#This Row],[K1]:[Z4]]),7)</f>
        <v>30</v>
      </c>
      <c r="AF4" s="128">
        <f>LARGE((Table62345[[#This Row],[K1]:[Z4]]),8)</f>
        <v>27</v>
      </c>
      <c r="AG4" s="128">
        <f>LARGE((Table62345[[#This Row],[K1]:[Z4]]),9)</f>
        <v>22</v>
      </c>
      <c r="AH4" s="128">
        <f>LARGE((Table62345[[#This Row],[K1]:[Z4]]),10)</f>
        <v>18</v>
      </c>
      <c r="AI4" s="129">
        <f>SUM(Y4:AH4)</f>
        <v>304</v>
      </c>
      <c r="AJ4" s="123">
        <f>K4+AI4</f>
        <v>313</v>
      </c>
      <c r="AK4" s="11"/>
    </row>
    <row r="5" spans="1:37" ht="14.4" customHeight="1" x14ac:dyDescent="0.3">
      <c r="A5" s="59">
        <v>2</v>
      </c>
      <c r="B5" s="51">
        <v>346</v>
      </c>
      <c r="C5" t="str">
        <f>_xlfn.XLOOKUP(B5,Sheet2!B:B,Sheet2!C:C)</f>
        <v>Sebastiano Human</v>
      </c>
      <c r="D5" s="52">
        <f>_xlfn.XLOOKUP(B5,Sheet2!B:B,Sheet2!G:G)</f>
        <v>27060</v>
      </c>
      <c r="E5" s="51" t="str">
        <f>_xlfn.XLOOKUP(B5,Sheet2!B:B,Sheet2!H:H)</f>
        <v>WP</v>
      </c>
      <c r="F5" s="30" t="str">
        <f>_xlfn.XLOOKUP(B5,Sheet2!B:B,Sheet2!D:D)</f>
        <v>PRAGA</v>
      </c>
      <c r="G5" s="123">
        <v>3</v>
      </c>
      <c r="H5" s="124">
        <v>3</v>
      </c>
      <c r="I5" s="124">
        <v>3</v>
      </c>
      <c r="J5" s="124">
        <v>3</v>
      </c>
      <c r="K5" s="130">
        <f>SUM(Table62345[[#This Row],[SARMC 1]:[SARMC 4]])</f>
        <v>12</v>
      </c>
      <c r="L5" s="123">
        <v>35</v>
      </c>
      <c r="M5" s="124">
        <v>32</v>
      </c>
      <c r="N5" s="126">
        <v>32</v>
      </c>
      <c r="O5" s="123">
        <v>28</v>
      </c>
      <c r="P5" s="124">
        <v>0</v>
      </c>
      <c r="Q5" s="126">
        <v>0</v>
      </c>
      <c r="R5" s="123">
        <v>25</v>
      </c>
      <c r="S5" s="124">
        <v>28</v>
      </c>
      <c r="T5" s="126">
        <v>28</v>
      </c>
      <c r="U5" s="123">
        <v>29</v>
      </c>
      <c r="V5" s="124">
        <v>28</v>
      </c>
      <c r="W5" s="124">
        <v>25</v>
      </c>
      <c r="X5" s="126">
        <v>32</v>
      </c>
      <c r="Y5" s="123">
        <f>LARGE((Table62345[[#This Row],[K1]:[Z4]]),1)</f>
        <v>35</v>
      </c>
      <c r="Z5" s="124">
        <f>LARGE((Table62345[[#This Row],[K1]:[Z4]]),2)</f>
        <v>32</v>
      </c>
      <c r="AA5" s="124">
        <f>LARGE((Table62345[[#This Row],[K1]:[Z4]]),3)</f>
        <v>32</v>
      </c>
      <c r="AB5" s="124">
        <f>LARGE((Table62345[[#This Row],[K1]:[Z4]]),4)</f>
        <v>32</v>
      </c>
      <c r="AC5" s="124">
        <f>LARGE((Table62345[[#This Row],[K1]:[Z4]]),5)</f>
        <v>29</v>
      </c>
      <c r="AD5" s="124">
        <f>LARGE((Table62345[[#This Row],[K1]:[Z4]]),6)</f>
        <v>28</v>
      </c>
      <c r="AE5" s="124">
        <f>LARGE((Table62345[[#This Row],[K1]:[Z4]]),7)</f>
        <v>28</v>
      </c>
      <c r="AF5" s="124">
        <f>LARGE((Table62345[[#This Row],[K1]:[Z4]]),8)</f>
        <v>28</v>
      </c>
      <c r="AG5" s="124">
        <f>LARGE((Table62345[[#This Row],[K1]:[Z4]]),9)</f>
        <v>28</v>
      </c>
      <c r="AH5" s="126">
        <f>LARGE((Table62345[[#This Row],[K1]:[Z4]]),10)</f>
        <v>25</v>
      </c>
      <c r="AI5" s="129">
        <f>SUM(Y5:AH5)</f>
        <v>297</v>
      </c>
      <c r="AJ5" s="123">
        <f>K5+AI5</f>
        <v>309</v>
      </c>
      <c r="AK5" s="11"/>
    </row>
    <row r="6" spans="1:37" ht="14.4" customHeight="1" x14ac:dyDescent="0.3">
      <c r="A6" s="59">
        <v>3</v>
      </c>
      <c r="B6" s="51">
        <v>377</v>
      </c>
      <c r="C6" t="str">
        <f>_xlfn.XLOOKUP(B6,Sheet2!B:B,Sheet2!C:C)</f>
        <v>Keagan Beaumont</v>
      </c>
      <c r="D6" s="52">
        <f>_xlfn.XLOOKUP(B6,Sheet2!B:B,Sheet2!G:G)</f>
        <v>16625</v>
      </c>
      <c r="E6" s="51" t="str">
        <f>_xlfn.XLOOKUP(B6,Sheet2!B:B,Sheet2!H:H)</f>
        <v>WP</v>
      </c>
      <c r="F6" s="30" t="str">
        <f>_xlfn.XLOOKUP(B6,Sheet2!B:B,Sheet2!D:D)</f>
        <v>EXPRIT</v>
      </c>
      <c r="G6" s="123">
        <v>3</v>
      </c>
      <c r="H6" s="124">
        <v>3</v>
      </c>
      <c r="I6" s="124">
        <v>0</v>
      </c>
      <c r="J6" s="124">
        <v>3</v>
      </c>
      <c r="K6" s="130">
        <f>SUM(Table62345[[#This Row],[SARMC 1]:[SARMC 4]])</f>
        <v>9</v>
      </c>
      <c r="L6" s="123">
        <v>30</v>
      </c>
      <c r="M6" s="124">
        <v>26</v>
      </c>
      <c r="N6" s="126">
        <v>30</v>
      </c>
      <c r="O6" s="123">
        <v>0</v>
      </c>
      <c r="P6" s="124">
        <v>0</v>
      </c>
      <c r="Q6" s="126">
        <v>0</v>
      </c>
      <c r="R6" s="123">
        <v>35</v>
      </c>
      <c r="S6" s="124">
        <v>35</v>
      </c>
      <c r="T6" s="126">
        <v>30</v>
      </c>
      <c r="U6" s="123">
        <v>30</v>
      </c>
      <c r="V6" s="124">
        <v>30</v>
      </c>
      <c r="W6" s="124">
        <v>26</v>
      </c>
      <c r="X6" s="126">
        <v>19</v>
      </c>
      <c r="Y6" s="123">
        <f>LARGE((Table62345[[#This Row],[K1]:[Z4]]),1)</f>
        <v>35</v>
      </c>
      <c r="Z6" s="124">
        <f>LARGE((Table62345[[#This Row],[K1]:[Z4]]),2)</f>
        <v>35</v>
      </c>
      <c r="AA6" s="124">
        <f>LARGE((Table62345[[#This Row],[K1]:[Z4]]),3)</f>
        <v>30</v>
      </c>
      <c r="AB6" s="124">
        <f>LARGE((Table62345[[#This Row],[K1]:[Z4]]),4)</f>
        <v>30</v>
      </c>
      <c r="AC6" s="124">
        <f>LARGE((Table62345[[#This Row],[K1]:[Z4]]),5)</f>
        <v>30</v>
      </c>
      <c r="AD6" s="124">
        <f>LARGE((Table62345[[#This Row],[K1]:[Z4]]),6)</f>
        <v>30</v>
      </c>
      <c r="AE6" s="124">
        <f>LARGE((Table62345[[#This Row],[K1]:[Z4]]),7)</f>
        <v>30</v>
      </c>
      <c r="AF6" s="124">
        <f>LARGE((Table62345[[#This Row],[K1]:[Z4]]),8)</f>
        <v>26</v>
      </c>
      <c r="AG6" s="124">
        <f>LARGE((Table62345[[#This Row],[K1]:[Z4]]),9)</f>
        <v>26</v>
      </c>
      <c r="AH6" s="126">
        <f>LARGE((Table62345[[#This Row],[K1]:[Z4]]),10)</f>
        <v>19</v>
      </c>
      <c r="AI6" s="129">
        <f>SUM(Y6:AH6)</f>
        <v>291</v>
      </c>
      <c r="AJ6" s="123">
        <f>K6+AI6</f>
        <v>300</v>
      </c>
      <c r="AK6" s="11"/>
    </row>
    <row r="7" spans="1:37" ht="14.4" customHeight="1" x14ac:dyDescent="0.3">
      <c r="A7" s="59">
        <v>4</v>
      </c>
      <c r="B7" s="51">
        <v>211</v>
      </c>
      <c r="C7" t="str">
        <f>_xlfn.XLOOKUP(B7,Sheet2!B:B,Sheet2!C:C)</f>
        <v>Kian Spies</v>
      </c>
      <c r="D7" s="52">
        <f>_xlfn.XLOOKUP(B7,Sheet2!B:B,Sheet2!G:G)</f>
        <v>37585</v>
      </c>
      <c r="E7" s="51" t="str">
        <f>_xlfn.XLOOKUP(B7,Sheet2!B:B,Sheet2!H:H)</f>
        <v>NR</v>
      </c>
      <c r="F7" s="30" t="str">
        <f>_xlfn.XLOOKUP(B7,Sheet2!B:B,Sheet2!D:D)</f>
        <v>FK</v>
      </c>
      <c r="G7" s="123">
        <v>3</v>
      </c>
      <c r="H7" s="124">
        <v>3</v>
      </c>
      <c r="I7" s="124">
        <v>3</v>
      </c>
      <c r="J7" s="124">
        <v>3</v>
      </c>
      <c r="K7" s="130">
        <f>SUM(Table62345[[#This Row],[SARMC 1]:[SARMC 4]])</f>
        <v>12</v>
      </c>
      <c r="L7" s="123">
        <v>28</v>
      </c>
      <c r="M7" s="136">
        <v>25</v>
      </c>
      <c r="N7" s="126">
        <v>25</v>
      </c>
      <c r="O7" s="123">
        <v>24</v>
      </c>
      <c r="P7" s="136">
        <v>0</v>
      </c>
      <c r="Q7" s="126">
        <v>0</v>
      </c>
      <c r="R7" s="123">
        <v>29</v>
      </c>
      <c r="S7" s="136">
        <v>30</v>
      </c>
      <c r="T7" s="126">
        <v>27</v>
      </c>
      <c r="U7" s="123">
        <v>32</v>
      </c>
      <c r="V7" s="136">
        <v>32</v>
      </c>
      <c r="W7" s="136">
        <v>32</v>
      </c>
      <c r="X7" s="126">
        <v>27</v>
      </c>
      <c r="Y7" s="123">
        <f>LARGE((Table62345[[#This Row],[K1]:[Z4]]),1)</f>
        <v>32</v>
      </c>
      <c r="Z7" s="136">
        <f>LARGE((Table62345[[#This Row],[K1]:[Z4]]),2)</f>
        <v>32</v>
      </c>
      <c r="AA7" s="136">
        <f>LARGE((Table62345[[#This Row],[K1]:[Z4]]),3)</f>
        <v>32</v>
      </c>
      <c r="AB7" s="136">
        <f>LARGE((Table62345[[#This Row],[K1]:[Z4]]),4)</f>
        <v>30</v>
      </c>
      <c r="AC7" s="136">
        <f>LARGE((Table62345[[#This Row],[K1]:[Z4]]),5)</f>
        <v>29</v>
      </c>
      <c r="AD7" s="136">
        <f>LARGE((Table62345[[#This Row],[K1]:[Z4]]),6)</f>
        <v>28</v>
      </c>
      <c r="AE7" s="136">
        <f>LARGE((Table62345[[#This Row],[K1]:[Z4]]),7)</f>
        <v>27</v>
      </c>
      <c r="AF7" s="136">
        <f>LARGE((Table62345[[#This Row],[K1]:[Z4]]),8)</f>
        <v>27</v>
      </c>
      <c r="AG7" s="136">
        <f>LARGE((Table62345[[#This Row],[K1]:[Z4]]),9)</f>
        <v>25</v>
      </c>
      <c r="AH7" s="126">
        <f>LARGE((Table62345[[#This Row],[K1]:[Z4]]),10)</f>
        <v>25</v>
      </c>
      <c r="AI7" s="129">
        <f>SUM(Y7:AH7)</f>
        <v>287</v>
      </c>
      <c r="AJ7" s="123">
        <f>K7+AI7</f>
        <v>299</v>
      </c>
      <c r="AK7" s="11"/>
    </row>
    <row r="8" spans="1:37" ht="14.4" customHeight="1" x14ac:dyDescent="0.3">
      <c r="A8" s="59">
        <v>5</v>
      </c>
      <c r="B8" s="51">
        <v>248</v>
      </c>
      <c r="C8" t="str">
        <f>_xlfn.XLOOKUP(B8,Sheet2!B:B,Sheet2!C:C)</f>
        <v>Jordon Wadeley</v>
      </c>
      <c r="D8" s="52">
        <f>_xlfn.XLOOKUP(B8,Sheet2!B:B,Sheet2!G:G)</f>
        <v>21372</v>
      </c>
      <c r="E8" s="51" t="str">
        <f>_xlfn.XLOOKUP(B8,Sheet2!B:B,Sheet2!H:H)</f>
        <v>WP</v>
      </c>
      <c r="F8" s="30" t="str">
        <f>_xlfn.XLOOKUP(B8,Sheet2!B:B,Sheet2!D:D)</f>
        <v>CRG</v>
      </c>
      <c r="G8" s="123">
        <v>3</v>
      </c>
      <c r="H8" s="124">
        <v>3</v>
      </c>
      <c r="I8" s="124">
        <v>3</v>
      </c>
      <c r="J8" s="124">
        <v>3</v>
      </c>
      <c r="K8" s="130">
        <f>SUM(Table62345[[#This Row],[SARMC 1]:[SARMC 4]])</f>
        <v>12</v>
      </c>
      <c r="L8" s="123">
        <v>32</v>
      </c>
      <c r="M8" s="124">
        <v>29</v>
      </c>
      <c r="N8" s="126">
        <v>14</v>
      </c>
      <c r="O8" s="123">
        <v>26</v>
      </c>
      <c r="P8" s="124">
        <v>0</v>
      </c>
      <c r="Q8" s="126">
        <v>0</v>
      </c>
      <c r="R8" s="123">
        <v>32</v>
      </c>
      <c r="S8" s="124">
        <v>27</v>
      </c>
      <c r="T8" s="126">
        <v>29</v>
      </c>
      <c r="U8" s="123">
        <v>18</v>
      </c>
      <c r="V8" s="124">
        <v>24</v>
      </c>
      <c r="W8" s="124">
        <v>29</v>
      </c>
      <c r="X8" s="126">
        <v>30</v>
      </c>
      <c r="Y8" s="123">
        <f>LARGE((Table62345[[#This Row],[K1]:[Z4]]),1)</f>
        <v>32</v>
      </c>
      <c r="Z8" s="124">
        <f>LARGE((Table62345[[#This Row],[K1]:[Z4]]),2)</f>
        <v>32</v>
      </c>
      <c r="AA8" s="124">
        <f>LARGE((Table62345[[#This Row],[K1]:[Z4]]),3)</f>
        <v>30</v>
      </c>
      <c r="AB8" s="124">
        <f>LARGE((Table62345[[#This Row],[K1]:[Z4]]),4)</f>
        <v>29</v>
      </c>
      <c r="AC8" s="124">
        <f>LARGE((Table62345[[#This Row],[K1]:[Z4]]),5)</f>
        <v>29</v>
      </c>
      <c r="AD8" s="124">
        <f>LARGE((Table62345[[#This Row],[K1]:[Z4]]),6)</f>
        <v>29</v>
      </c>
      <c r="AE8" s="124">
        <f>LARGE((Table62345[[#This Row],[K1]:[Z4]]),7)</f>
        <v>27</v>
      </c>
      <c r="AF8" s="124">
        <f>LARGE((Table62345[[#This Row],[K1]:[Z4]]),8)</f>
        <v>26</v>
      </c>
      <c r="AG8" s="124">
        <f>LARGE((Table62345[[#This Row],[K1]:[Z4]]),9)</f>
        <v>24</v>
      </c>
      <c r="AH8" s="126">
        <f>LARGE((Table62345[[#This Row],[K1]:[Z4]]),10)</f>
        <v>18</v>
      </c>
      <c r="AI8" s="129">
        <f>SUM(Y8:AH8)</f>
        <v>276</v>
      </c>
      <c r="AJ8" s="123">
        <f>K8+AI8</f>
        <v>288</v>
      </c>
      <c r="AK8" s="11"/>
    </row>
    <row r="9" spans="1:37" ht="14.4" customHeight="1" x14ac:dyDescent="0.3">
      <c r="A9" s="59">
        <v>6</v>
      </c>
      <c r="B9" s="51">
        <v>286</v>
      </c>
      <c r="C9" t="str">
        <f>_xlfn.XLOOKUP(B9,Sheet2!B:B,Sheet2!C:C)</f>
        <v>Georgia Lenaerts</v>
      </c>
      <c r="D9" s="52" t="str">
        <f>_xlfn.XLOOKUP(B9,Sheet2!B:B,Sheet2!G:G)</f>
        <v>05874</v>
      </c>
      <c r="E9" s="51" t="str">
        <f>_xlfn.XLOOKUP(B9,Sheet2!B:B,Sheet2!H:H)</f>
        <v>NR</v>
      </c>
      <c r="F9" s="30" t="str">
        <f>_xlfn.XLOOKUP(B9,Sheet2!B:B,Sheet2!D:D)</f>
        <v>KR</v>
      </c>
      <c r="G9" s="123">
        <v>3</v>
      </c>
      <c r="H9" s="124">
        <v>3</v>
      </c>
      <c r="I9" s="124">
        <v>3</v>
      </c>
      <c r="J9" s="124">
        <v>3</v>
      </c>
      <c r="K9" s="130">
        <f>SUM(Table62345[[#This Row],[SARMC 1]:[SARMC 4]])</f>
        <v>12</v>
      </c>
      <c r="L9" s="123">
        <v>23</v>
      </c>
      <c r="M9" s="124">
        <v>4</v>
      </c>
      <c r="N9" s="126">
        <v>22</v>
      </c>
      <c r="O9" s="123">
        <v>27</v>
      </c>
      <c r="P9" s="124">
        <v>0</v>
      </c>
      <c r="Q9" s="126">
        <v>0</v>
      </c>
      <c r="R9" s="123">
        <v>26</v>
      </c>
      <c r="S9" s="124">
        <v>25</v>
      </c>
      <c r="T9" s="126">
        <v>24</v>
      </c>
      <c r="U9" s="123">
        <v>27</v>
      </c>
      <c r="V9" s="124">
        <v>29</v>
      </c>
      <c r="W9" s="124">
        <v>30</v>
      </c>
      <c r="X9" s="126">
        <v>24</v>
      </c>
      <c r="Y9" s="123">
        <f>LARGE((Table62345[[#This Row],[K1]:[Z4]]),1)</f>
        <v>30</v>
      </c>
      <c r="Z9" s="124">
        <f>LARGE((Table62345[[#This Row],[K1]:[Z4]]),2)</f>
        <v>29</v>
      </c>
      <c r="AA9" s="124">
        <f>LARGE((Table62345[[#This Row],[K1]:[Z4]]),3)</f>
        <v>27</v>
      </c>
      <c r="AB9" s="124">
        <f>LARGE((Table62345[[#This Row],[K1]:[Z4]]),4)</f>
        <v>27</v>
      </c>
      <c r="AC9" s="124">
        <f>LARGE((Table62345[[#This Row],[K1]:[Z4]]),5)</f>
        <v>26</v>
      </c>
      <c r="AD9" s="124">
        <f>LARGE((Table62345[[#This Row],[K1]:[Z4]]),6)</f>
        <v>25</v>
      </c>
      <c r="AE9" s="124">
        <f>LARGE((Table62345[[#This Row],[K1]:[Z4]]),7)</f>
        <v>24</v>
      </c>
      <c r="AF9" s="124">
        <f>LARGE((Table62345[[#This Row],[K1]:[Z4]]),8)</f>
        <v>24</v>
      </c>
      <c r="AG9" s="124">
        <f>LARGE((Table62345[[#This Row],[K1]:[Z4]]),9)</f>
        <v>23</v>
      </c>
      <c r="AH9" s="126">
        <f>LARGE((Table62345[[#This Row],[K1]:[Z4]]),10)</f>
        <v>22</v>
      </c>
      <c r="AI9" s="129">
        <f>SUM(Y9:AH9)</f>
        <v>257</v>
      </c>
      <c r="AJ9" s="123">
        <f>K9+AI9</f>
        <v>269</v>
      </c>
      <c r="AK9" s="11"/>
    </row>
    <row r="10" spans="1:37" ht="14.4" customHeight="1" x14ac:dyDescent="0.3">
      <c r="A10" s="59">
        <v>7</v>
      </c>
      <c r="B10" s="51">
        <v>226</v>
      </c>
      <c r="C10" t="str">
        <f>_xlfn.XLOOKUP(B10,Sheet2!B:B,Sheet2!C:C)</f>
        <v>Tristan Du Plessis</v>
      </c>
      <c r="D10" s="52">
        <f>_xlfn.XLOOKUP(B10,Sheet2!B:B,Sheet2!G:G)</f>
        <v>37734</v>
      </c>
      <c r="E10" s="51" t="str">
        <f>_xlfn.XLOOKUP(B10,Sheet2!B:B,Sheet2!H:H)</f>
        <v>NR</v>
      </c>
      <c r="F10" s="30" t="str">
        <f>_xlfn.XLOOKUP(B10,Sheet2!B:B,Sheet2!D:D)</f>
        <v>LNK</v>
      </c>
      <c r="G10" s="123">
        <v>3</v>
      </c>
      <c r="H10" s="124">
        <v>3</v>
      </c>
      <c r="I10" s="124">
        <v>3</v>
      </c>
      <c r="J10" s="124">
        <v>3</v>
      </c>
      <c r="K10" s="130">
        <f>SUM(Table62345[[#This Row],[SARMC 1]:[SARMC 4]])</f>
        <v>12</v>
      </c>
      <c r="L10" s="123">
        <v>19</v>
      </c>
      <c r="M10" s="124">
        <v>21</v>
      </c>
      <c r="N10" s="126">
        <v>16</v>
      </c>
      <c r="O10" s="123">
        <v>30</v>
      </c>
      <c r="P10" s="124">
        <v>0</v>
      </c>
      <c r="Q10" s="126">
        <v>0</v>
      </c>
      <c r="R10" s="123">
        <v>18</v>
      </c>
      <c r="S10" s="124">
        <v>29</v>
      </c>
      <c r="T10" s="126">
        <v>23</v>
      </c>
      <c r="U10" s="123">
        <v>24</v>
      </c>
      <c r="V10" s="124">
        <v>23</v>
      </c>
      <c r="W10" s="124">
        <v>27</v>
      </c>
      <c r="X10" s="126">
        <v>29</v>
      </c>
      <c r="Y10" s="123">
        <f>LARGE((Table62345[[#This Row],[K1]:[Z4]]),1)</f>
        <v>30</v>
      </c>
      <c r="Z10" s="124">
        <f>LARGE((Table62345[[#This Row],[K1]:[Z4]]),2)</f>
        <v>29</v>
      </c>
      <c r="AA10" s="124">
        <f>LARGE((Table62345[[#This Row],[K1]:[Z4]]),3)</f>
        <v>29</v>
      </c>
      <c r="AB10" s="124">
        <f>LARGE((Table62345[[#This Row],[K1]:[Z4]]),4)</f>
        <v>27</v>
      </c>
      <c r="AC10" s="124">
        <f>LARGE((Table62345[[#This Row],[K1]:[Z4]]),5)</f>
        <v>24</v>
      </c>
      <c r="AD10" s="124">
        <f>LARGE((Table62345[[#This Row],[K1]:[Z4]]),6)</f>
        <v>23</v>
      </c>
      <c r="AE10" s="124">
        <f>LARGE((Table62345[[#This Row],[K1]:[Z4]]),7)</f>
        <v>23</v>
      </c>
      <c r="AF10" s="124">
        <f>LARGE((Table62345[[#This Row],[K1]:[Z4]]),8)</f>
        <v>21</v>
      </c>
      <c r="AG10" s="124">
        <f>LARGE((Table62345[[#This Row],[K1]:[Z4]]),9)</f>
        <v>19</v>
      </c>
      <c r="AH10" s="126">
        <f>LARGE((Table62345[[#This Row],[K1]:[Z4]]),10)</f>
        <v>18</v>
      </c>
      <c r="AI10" s="129">
        <f>SUM(Y10:AH10)</f>
        <v>243</v>
      </c>
      <c r="AJ10" s="123">
        <f>K10+AI10</f>
        <v>255</v>
      </c>
      <c r="AK10" s="11"/>
    </row>
    <row r="11" spans="1:37" ht="14.4" customHeight="1" x14ac:dyDescent="0.3">
      <c r="A11" s="59">
        <v>8</v>
      </c>
      <c r="B11" s="51">
        <v>388</v>
      </c>
      <c r="C11" t="s">
        <v>206</v>
      </c>
      <c r="D11" s="52">
        <v>15155</v>
      </c>
      <c r="E11" s="51" t="s">
        <v>36</v>
      </c>
      <c r="F11" s="30" t="s">
        <v>334</v>
      </c>
      <c r="G11" s="123">
        <v>3</v>
      </c>
      <c r="H11" s="124">
        <v>3</v>
      </c>
      <c r="I11" s="124">
        <v>3</v>
      </c>
      <c r="J11" s="124">
        <v>3</v>
      </c>
      <c r="K11" s="130">
        <f>SUM(Table62345[[#This Row],[SARMC 1]:[SARMC 4]])</f>
        <v>12</v>
      </c>
      <c r="L11" s="123">
        <v>27</v>
      </c>
      <c r="M11" s="124">
        <v>35</v>
      </c>
      <c r="N11" s="126">
        <v>35</v>
      </c>
      <c r="O11" s="123">
        <v>25</v>
      </c>
      <c r="P11" s="124">
        <v>0</v>
      </c>
      <c r="Q11" s="126">
        <v>0</v>
      </c>
      <c r="R11" s="123">
        <v>28</v>
      </c>
      <c r="S11" s="124">
        <v>24</v>
      </c>
      <c r="T11" s="126">
        <v>13</v>
      </c>
      <c r="U11" s="123">
        <v>8</v>
      </c>
      <c r="V11" s="124">
        <v>16</v>
      </c>
      <c r="W11" s="124">
        <v>18</v>
      </c>
      <c r="X11" s="126">
        <v>0</v>
      </c>
      <c r="Y11" s="123">
        <f>LARGE((Table62345[[#This Row],[K1]:[Z4]]),1)</f>
        <v>35</v>
      </c>
      <c r="Z11" s="124">
        <f>LARGE((Table62345[[#This Row],[K1]:[Z4]]),2)</f>
        <v>35</v>
      </c>
      <c r="AA11" s="124">
        <f>LARGE((Table62345[[#This Row],[K1]:[Z4]]),3)</f>
        <v>28</v>
      </c>
      <c r="AB11" s="124">
        <f>LARGE((Table62345[[#This Row],[K1]:[Z4]]),4)</f>
        <v>27</v>
      </c>
      <c r="AC11" s="124">
        <f>LARGE((Table62345[[#This Row],[K1]:[Z4]]),5)</f>
        <v>25</v>
      </c>
      <c r="AD11" s="124">
        <f>LARGE((Table62345[[#This Row],[K1]:[Z4]]),6)</f>
        <v>24</v>
      </c>
      <c r="AE11" s="124">
        <f>LARGE((Table62345[[#This Row],[K1]:[Z4]]),7)</f>
        <v>18</v>
      </c>
      <c r="AF11" s="124">
        <f>LARGE((Table62345[[#This Row],[K1]:[Z4]]),8)</f>
        <v>16</v>
      </c>
      <c r="AG11" s="124">
        <f>LARGE((Table62345[[#This Row],[K1]:[Z4]]),9)</f>
        <v>13</v>
      </c>
      <c r="AH11" s="126">
        <f>LARGE((Table62345[[#This Row],[K1]:[Z4]]),10)</f>
        <v>8</v>
      </c>
      <c r="AI11" s="129">
        <f>SUM(Y11:AH11)</f>
        <v>229</v>
      </c>
      <c r="AJ11" s="123">
        <f>K11+AI11</f>
        <v>241</v>
      </c>
      <c r="AK11" s="11"/>
    </row>
    <row r="12" spans="1:37" ht="14.4" customHeight="1" x14ac:dyDescent="0.3">
      <c r="A12" s="59">
        <v>9</v>
      </c>
      <c r="B12" s="51">
        <v>379</v>
      </c>
      <c r="C12" t="str">
        <f>_xlfn.XLOOKUP(B12,Sheet2!B:B,Sheet2!C:C)</f>
        <v>Reagile Spice Mailula</v>
      </c>
      <c r="D12" s="52">
        <f>_xlfn.XLOOKUP(B12,Sheet2!B:B,Sheet2!G:G)</f>
        <v>22482</v>
      </c>
      <c r="E12" s="51" t="str">
        <f>_xlfn.XLOOKUP(B12,Sheet2!B:B,Sheet2!H:H)</f>
        <v>NR</v>
      </c>
      <c r="F12" s="30" t="str">
        <f>_xlfn.XLOOKUP(B12,Sheet2!B:B,Sheet2!D:D)</f>
        <v>KR</v>
      </c>
      <c r="G12" s="123">
        <v>3</v>
      </c>
      <c r="H12" s="124">
        <v>3</v>
      </c>
      <c r="I12" s="124">
        <v>3</v>
      </c>
      <c r="J12" s="124">
        <v>3</v>
      </c>
      <c r="K12" s="130">
        <f>SUM(Table62345[[#This Row],[SARMC 1]:[SARMC 4]])</f>
        <v>12</v>
      </c>
      <c r="L12" s="123">
        <v>25</v>
      </c>
      <c r="M12" s="124">
        <v>27</v>
      </c>
      <c r="N12" s="126">
        <v>26</v>
      </c>
      <c r="O12" s="123">
        <v>35</v>
      </c>
      <c r="P12" s="124">
        <v>0</v>
      </c>
      <c r="Q12" s="126">
        <v>0</v>
      </c>
      <c r="R12" s="123">
        <v>20</v>
      </c>
      <c r="S12" s="124">
        <v>18</v>
      </c>
      <c r="T12" s="126">
        <v>9</v>
      </c>
      <c r="U12" s="123">
        <v>21</v>
      </c>
      <c r="V12" s="124">
        <v>21</v>
      </c>
      <c r="W12" s="124">
        <v>0</v>
      </c>
      <c r="X12" s="126">
        <v>21</v>
      </c>
      <c r="Y12" s="123">
        <f>LARGE((Table62345[[#This Row],[K1]:[Z4]]),1)</f>
        <v>35</v>
      </c>
      <c r="Z12" s="124">
        <f>LARGE((Table62345[[#This Row],[K1]:[Z4]]),2)</f>
        <v>27</v>
      </c>
      <c r="AA12" s="124">
        <f>LARGE((Table62345[[#This Row],[K1]:[Z4]]),3)</f>
        <v>26</v>
      </c>
      <c r="AB12" s="124">
        <f>LARGE((Table62345[[#This Row],[K1]:[Z4]]),4)</f>
        <v>25</v>
      </c>
      <c r="AC12" s="124">
        <f>LARGE((Table62345[[#This Row],[K1]:[Z4]]),5)</f>
        <v>21</v>
      </c>
      <c r="AD12" s="124">
        <f>LARGE((Table62345[[#This Row],[K1]:[Z4]]),6)</f>
        <v>21</v>
      </c>
      <c r="AE12" s="124">
        <f>LARGE((Table62345[[#This Row],[K1]:[Z4]]),7)</f>
        <v>21</v>
      </c>
      <c r="AF12" s="124">
        <f>LARGE((Table62345[[#This Row],[K1]:[Z4]]),8)</f>
        <v>20</v>
      </c>
      <c r="AG12" s="124">
        <f>LARGE((Table62345[[#This Row],[K1]:[Z4]]),9)</f>
        <v>18</v>
      </c>
      <c r="AH12" s="126">
        <f>LARGE((Table62345[[#This Row],[K1]:[Z4]]),10)</f>
        <v>9</v>
      </c>
      <c r="AI12" s="129">
        <f>SUM(Y12:AH12)</f>
        <v>223</v>
      </c>
      <c r="AJ12" s="123">
        <f>K12+AI12</f>
        <v>235</v>
      </c>
      <c r="AK12" s="11"/>
    </row>
    <row r="13" spans="1:37" ht="14.4" customHeight="1" x14ac:dyDescent="0.3">
      <c r="A13" s="59">
        <v>10</v>
      </c>
      <c r="B13" s="51">
        <v>246</v>
      </c>
      <c r="C13" t="str">
        <f>_xlfn.XLOOKUP(B13,Sheet2!B:B,Sheet2!C:C)</f>
        <v>Matthew Carter</v>
      </c>
      <c r="D13" s="52">
        <f>_xlfn.XLOOKUP(B13,Sheet2!B:B,Sheet2!G:G)</f>
        <v>42852</v>
      </c>
      <c r="E13" s="51" t="str">
        <f>_xlfn.XLOOKUP(B13,Sheet2!B:B,Sheet2!H:H)</f>
        <v>WP</v>
      </c>
      <c r="F13" s="30" t="str">
        <f>_xlfn.XLOOKUP(B13,Sheet2!B:B,Sheet2!D:D)</f>
        <v>PRAGA</v>
      </c>
      <c r="G13" s="123">
        <v>3</v>
      </c>
      <c r="H13" s="124">
        <v>3</v>
      </c>
      <c r="I13" s="124">
        <v>3</v>
      </c>
      <c r="J13" s="124">
        <v>3</v>
      </c>
      <c r="K13" s="130">
        <f>SUM(Table62345[[#This Row],[SARMC 1]:[SARMC 4]])</f>
        <v>12</v>
      </c>
      <c r="L13" s="123">
        <v>21</v>
      </c>
      <c r="M13" s="124">
        <v>20</v>
      </c>
      <c r="N13" s="126">
        <v>21</v>
      </c>
      <c r="O13" s="123">
        <v>16</v>
      </c>
      <c r="P13" s="124">
        <v>0</v>
      </c>
      <c r="Q13" s="126">
        <v>0</v>
      </c>
      <c r="R13" s="123">
        <v>23</v>
      </c>
      <c r="S13" s="124">
        <v>22</v>
      </c>
      <c r="T13" s="126">
        <v>26</v>
      </c>
      <c r="U13" s="123">
        <v>6</v>
      </c>
      <c r="V13" s="124">
        <v>20</v>
      </c>
      <c r="W13" s="124">
        <v>24</v>
      </c>
      <c r="X13" s="126">
        <v>28</v>
      </c>
      <c r="Y13" s="123">
        <f>LARGE((Table62345[[#This Row],[K1]:[Z4]]),1)</f>
        <v>28</v>
      </c>
      <c r="Z13" s="124">
        <f>LARGE((Table62345[[#This Row],[K1]:[Z4]]),2)</f>
        <v>26</v>
      </c>
      <c r="AA13" s="124">
        <f>LARGE((Table62345[[#This Row],[K1]:[Z4]]),3)</f>
        <v>24</v>
      </c>
      <c r="AB13" s="124">
        <f>LARGE((Table62345[[#This Row],[K1]:[Z4]]),4)</f>
        <v>23</v>
      </c>
      <c r="AC13" s="124">
        <f>LARGE((Table62345[[#This Row],[K1]:[Z4]]),5)</f>
        <v>22</v>
      </c>
      <c r="AD13" s="124">
        <f>LARGE((Table62345[[#This Row],[K1]:[Z4]]),6)</f>
        <v>21</v>
      </c>
      <c r="AE13" s="124">
        <f>LARGE((Table62345[[#This Row],[K1]:[Z4]]),7)</f>
        <v>21</v>
      </c>
      <c r="AF13" s="124">
        <f>LARGE((Table62345[[#This Row],[K1]:[Z4]]),8)</f>
        <v>20</v>
      </c>
      <c r="AG13" s="124">
        <f>LARGE((Table62345[[#This Row],[K1]:[Z4]]),9)</f>
        <v>20</v>
      </c>
      <c r="AH13" s="126">
        <f>LARGE((Table62345[[#This Row],[K1]:[Z4]]),10)</f>
        <v>16</v>
      </c>
      <c r="AI13" s="129">
        <f>SUM(Y13:AH13)</f>
        <v>221</v>
      </c>
      <c r="AJ13" s="123">
        <f>K13+AI13</f>
        <v>233</v>
      </c>
      <c r="AK13" s="11"/>
    </row>
    <row r="14" spans="1:37" ht="14.4" customHeight="1" x14ac:dyDescent="0.3">
      <c r="A14" s="59">
        <v>11</v>
      </c>
      <c r="B14" s="51">
        <v>267</v>
      </c>
      <c r="C14" t="str">
        <f>_xlfn.XLOOKUP(B14,Sheet2!B:B,Sheet2!C:C)</f>
        <v>Jesse Swart</v>
      </c>
      <c r="D14" s="52">
        <f>_xlfn.XLOOKUP(B14,Sheet2!B:B,Sheet2!G:G)</f>
        <v>37552</v>
      </c>
      <c r="E14" s="51" t="str">
        <f>_xlfn.XLOOKUP(B14,Sheet2!B:B,Sheet2!H:H)</f>
        <v>WP</v>
      </c>
      <c r="F14" s="30" t="s">
        <v>448</v>
      </c>
      <c r="G14" s="123">
        <v>3</v>
      </c>
      <c r="H14" s="124">
        <v>3</v>
      </c>
      <c r="I14" s="124">
        <v>3</v>
      </c>
      <c r="J14" s="124">
        <v>3</v>
      </c>
      <c r="K14" s="130">
        <f>SUM(Table62345[[#This Row],[SARMC 1]:[SARMC 4]])</f>
        <v>12</v>
      </c>
      <c r="L14" s="123">
        <v>29</v>
      </c>
      <c r="M14" s="124">
        <v>9</v>
      </c>
      <c r="N14" s="126">
        <v>28</v>
      </c>
      <c r="O14" s="123">
        <v>0</v>
      </c>
      <c r="P14" s="124">
        <v>0</v>
      </c>
      <c r="Q14" s="126">
        <v>0</v>
      </c>
      <c r="R14" s="123">
        <v>19</v>
      </c>
      <c r="S14" s="124">
        <v>26</v>
      </c>
      <c r="T14" s="126">
        <v>25</v>
      </c>
      <c r="U14" s="123">
        <v>28</v>
      </c>
      <c r="V14" s="124">
        <v>27</v>
      </c>
      <c r="W14" s="124">
        <v>21</v>
      </c>
      <c r="X14" s="126">
        <v>0</v>
      </c>
      <c r="Y14" s="123">
        <f>LARGE((Table62345[[#This Row],[K1]:[Z4]]),1)</f>
        <v>29</v>
      </c>
      <c r="Z14" s="124">
        <f>LARGE((Table62345[[#This Row],[K1]:[Z4]]),2)</f>
        <v>28</v>
      </c>
      <c r="AA14" s="124">
        <f>LARGE((Table62345[[#This Row],[K1]:[Z4]]),3)</f>
        <v>28</v>
      </c>
      <c r="AB14" s="124">
        <f>LARGE((Table62345[[#This Row],[K1]:[Z4]]),4)</f>
        <v>27</v>
      </c>
      <c r="AC14" s="124">
        <f>LARGE((Table62345[[#This Row],[K1]:[Z4]]),5)</f>
        <v>26</v>
      </c>
      <c r="AD14" s="124">
        <f>LARGE((Table62345[[#This Row],[K1]:[Z4]]),6)</f>
        <v>25</v>
      </c>
      <c r="AE14" s="124">
        <f>LARGE((Table62345[[#This Row],[K1]:[Z4]]),7)</f>
        <v>21</v>
      </c>
      <c r="AF14" s="124">
        <f>LARGE((Table62345[[#This Row],[K1]:[Z4]]),8)</f>
        <v>19</v>
      </c>
      <c r="AG14" s="124">
        <f>LARGE((Table62345[[#This Row],[K1]:[Z4]]),9)</f>
        <v>9</v>
      </c>
      <c r="AH14" s="126">
        <f>LARGE((Table62345[[#This Row],[K1]:[Z4]]),10)</f>
        <v>0</v>
      </c>
      <c r="AI14" s="129">
        <f>SUM(Y14:AH14)</f>
        <v>212</v>
      </c>
      <c r="AJ14" s="123">
        <f>K14+AI14</f>
        <v>224</v>
      </c>
      <c r="AK14" s="11"/>
    </row>
    <row r="15" spans="1:37" ht="14.4" customHeight="1" x14ac:dyDescent="0.3">
      <c r="A15" s="59">
        <v>12</v>
      </c>
      <c r="B15" s="51">
        <v>297</v>
      </c>
      <c r="C15" t="str">
        <f>_xlfn.XLOOKUP(B15,Sheet2!B:B,Sheet2!C:C)</f>
        <v>Ryan Berrington-Smit</v>
      </c>
      <c r="D15" s="52">
        <f>_xlfn.XLOOKUP(B15,Sheet2!B:B,Sheet2!G:G)</f>
        <v>42334</v>
      </c>
      <c r="E15" s="51" t="str">
        <f>_xlfn.XLOOKUP(B15,Sheet2!B:B,Sheet2!H:H)</f>
        <v>KZN</v>
      </c>
      <c r="F15" s="30" t="s">
        <v>330</v>
      </c>
      <c r="G15" s="123">
        <v>3</v>
      </c>
      <c r="H15" s="124">
        <v>2</v>
      </c>
      <c r="I15" s="124">
        <v>3</v>
      </c>
      <c r="J15" s="124">
        <v>3</v>
      </c>
      <c r="K15" s="130">
        <f>SUM(Table62345[[#This Row],[SARMC 1]:[SARMC 4]])</f>
        <v>11</v>
      </c>
      <c r="L15" s="123">
        <v>4</v>
      </c>
      <c r="M15" s="124">
        <v>22</v>
      </c>
      <c r="N15" s="126">
        <v>23</v>
      </c>
      <c r="O15" s="123">
        <v>23</v>
      </c>
      <c r="P15" s="124">
        <v>0</v>
      </c>
      <c r="Q15" s="126">
        <v>0</v>
      </c>
      <c r="R15" s="123">
        <v>17</v>
      </c>
      <c r="S15" s="124">
        <v>20</v>
      </c>
      <c r="T15" s="126">
        <v>18</v>
      </c>
      <c r="U15" s="123">
        <v>19</v>
      </c>
      <c r="V15" s="124">
        <v>25</v>
      </c>
      <c r="W15" s="124">
        <v>17</v>
      </c>
      <c r="X15" s="126">
        <v>16</v>
      </c>
      <c r="Y15" s="123">
        <f>LARGE((Table62345[[#This Row],[K1]:[Z4]]),1)</f>
        <v>25</v>
      </c>
      <c r="Z15" s="124">
        <f>LARGE((Table62345[[#This Row],[K1]:[Z4]]),2)</f>
        <v>23</v>
      </c>
      <c r="AA15" s="124">
        <f>LARGE((Table62345[[#This Row],[K1]:[Z4]]),3)</f>
        <v>23</v>
      </c>
      <c r="AB15" s="124">
        <f>LARGE((Table62345[[#This Row],[K1]:[Z4]]),4)</f>
        <v>22</v>
      </c>
      <c r="AC15" s="124">
        <f>LARGE((Table62345[[#This Row],[K1]:[Z4]]),5)</f>
        <v>20</v>
      </c>
      <c r="AD15" s="124">
        <f>LARGE((Table62345[[#This Row],[K1]:[Z4]]),6)</f>
        <v>19</v>
      </c>
      <c r="AE15" s="124">
        <f>LARGE((Table62345[[#This Row],[K1]:[Z4]]),7)</f>
        <v>18</v>
      </c>
      <c r="AF15" s="124">
        <f>LARGE((Table62345[[#This Row],[K1]:[Z4]]),8)</f>
        <v>17</v>
      </c>
      <c r="AG15" s="124">
        <f>LARGE((Table62345[[#This Row],[K1]:[Z4]]),9)</f>
        <v>17</v>
      </c>
      <c r="AH15" s="126">
        <f>LARGE((Table62345[[#This Row],[K1]:[Z4]]),10)</f>
        <v>16</v>
      </c>
      <c r="AI15" s="129">
        <f>SUM(Y15:AH15)</f>
        <v>200</v>
      </c>
      <c r="AJ15" s="123">
        <f>K15+AI15</f>
        <v>211</v>
      </c>
      <c r="AK15" s="11"/>
    </row>
    <row r="16" spans="1:37" ht="14.4" customHeight="1" x14ac:dyDescent="0.3">
      <c r="A16" s="59">
        <v>13</v>
      </c>
      <c r="B16" s="51">
        <v>330</v>
      </c>
      <c r="C16" t="str">
        <f>_xlfn.XLOOKUP(B16,Sheet2!B:B,Sheet2!C:C)</f>
        <v>Tshepang Shisinwana</v>
      </c>
      <c r="D16" s="52">
        <f>_xlfn.XLOOKUP(B16,Sheet2!B:B,Sheet2!G:G)</f>
        <v>2905</v>
      </c>
      <c r="E16" s="51" t="str">
        <f>_xlfn.XLOOKUP(B16,Sheet2!B:B,Sheet2!H:H)</f>
        <v>NR</v>
      </c>
      <c r="F16" s="30" t="str">
        <f>_xlfn.XLOOKUP(B16,Sheet2!B:B,Sheet2!D:D)</f>
        <v>KR</v>
      </c>
      <c r="G16" s="123">
        <v>3</v>
      </c>
      <c r="H16" s="124">
        <v>3</v>
      </c>
      <c r="I16" s="124">
        <v>3</v>
      </c>
      <c r="J16" s="124">
        <v>3</v>
      </c>
      <c r="K16" s="130">
        <f>SUM(Table62345[[#This Row],[SARMC 1]:[SARMC 4]])</f>
        <v>12</v>
      </c>
      <c r="L16" s="123">
        <v>26</v>
      </c>
      <c r="M16" s="124">
        <v>28</v>
      </c>
      <c r="N16" s="126">
        <v>4</v>
      </c>
      <c r="O16" s="123">
        <v>32</v>
      </c>
      <c r="P16" s="124">
        <v>0</v>
      </c>
      <c r="Q16" s="126">
        <v>0</v>
      </c>
      <c r="R16" s="123">
        <v>15</v>
      </c>
      <c r="S16" s="124">
        <v>7</v>
      </c>
      <c r="T16" s="126">
        <v>3</v>
      </c>
      <c r="U16" s="123">
        <v>23</v>
      </c>
      <c r="V16" s="124">
        <v>19</v>
      </c>
      <c r="W16" s="124">
        <v>22</v>
      </c>
      <c r="X16" s="126">
        <v>0</v>
      </c>
      <c r="Y16" s="123">
        <f>LARGE((Table62345[[#This Row],[K1]:[Z4]]),1)</f>
        <v>32</v>
      </c>
      <c r="Z16" s="124">
        <f>LARGE((Table62345[[#This Row],[K1]:[Z4]]),2)</f>
        <v>28</v>
      </c>
      <c r="AA16" s="124">
        <f>LARGE((Table62345[[#This Row],[K1]:[Z4]]),3)</f>
        <v>26</v>
      </c>
      <c r="AB16" s="124">
        <f>LARGE((Table62345[[#This Row],[K1]:[Z4]]),4)</f>
        <v>23</v>
      </c>
      <c r="AC16" s="124">
        <f>LARGE((Table62345[[#This Row],[K1]:[Z4]]),5)</f>
        <v>22</v>
      </c>
      <c r="AD16" s="124">
        <f>LARGE((Table62345[[#This Row],[K1]:[Z4]]),6)</f>
        <v>19</v>
      </c>
      <c r="AE16" s="124">
        <f>LARGE((Table62345[[#This Row],[K1]:[Z4]]),7)</f>
        <v>15</v>
      </c>
      <c r="AF16" s="124">
        <f>LARGE((Table62345[[#This Row],[K1]:[Z4]]),8)</f>
        <v>7</v>
      </c>
      <c r="AG16" s="124">
        <f>LARGE((Table62345[[#This Row],[K1]:[Z4]]),9)</f>
        <v>4</v>
      </c>
      <c r="AH16" s="126">
        <f>LARGE((Table62345[[#This Row],[K1]:[Z4]]),10)</f>
        <v>3</v>
      </c>
      <c r="AI16" s="129">
        <f>SUM(Y16:AH16)</f>
        <v>179</v>
      </c>
      <c r="AJ16" s="123">
        <f>K16+AI16</f>
        <v>191</v>
      </c>
      <c r="AK16" s="11"/>
    </row>
    <row r="17" spans="1:37" ht="14.4" customHeight="1" x14ac:dyDescent="0.3">
      <c r="A17" s="59">
        <v>14</v>
      </c>
      <c r="B17" s="51">
        <v>223</v>
      </c>
      <c r="C17" t="str">
        <f>_xlfn.XLOOKUP(B17,Sheet2!B:B,Sheet2!C:C)</f>
        <v>Emma Dowling</v>
      </c>
      <c r="D17" s="52">
        <f>_xlfn.XLOOKUP(B17,Sheet2!B:B,Sheet2!G:G)</f>
        <v>34171</v>
      </c>
      <c r="E17" s="51" t="str">
        <f>_xlfn.XLOOKUP(B17,Sheet2!B:B,Sheet2!H:H)</f>
        <v>NR</v>
      </c>
      <c r="F17" s="30" t="str">
        <f>_xlfn.XLOOKUP(B17,Sheet2!B:B,Sheet2!D:D)</f>
        <v>KR</v>
      </c>
      <c r="G17" s="123">
        <v>3</v>
      </c>
      <c r="H17" s="124">
        <v>0</v>
      </c>
      <c r="I17" s="124">
        <v>3</v>
      </c>
      <c r="J17" s="124">
        <v>3</v>
      </c>
      <c r="K17" s="130">
        <f>SUM(Table62345[[#This Row],[SARMC 1]:[SARMC 4]])</f>
        <v>9</v>
      </c>
      <c r="L17" s="123">
        <v>0</v>
      </c>
      <c r="M17" s="124">
        <v>0</v>
      </c>
      <c r="N17" s="126">
        <v>0</v>
      </c>
      <c r="O17" s="123">
        <v>29</v>
      </c>
      <c r="P17" s="124">
        <v>0</v>
      </c>
      <c r="Q17" s="126">
        <v>0</v>
      </c>
      <c r="R17" s="123">
        <v>3</v>
      </c>
      <c r="S17" s="124">
        <v>19</v>
      </c>
      <c r="T17" s="126">
        <v>32</v>
      </c>
      <c r="U17" s="123">
        <v>25</v>
      </c>
      <c r="V17" s="124">
        <v>22</v>
      </c>
      <c r="W17" s="124">
        <v>20</v>
      </c>
      <c r="X17" s="126">
        <v>25</v>
      </c>
      <c r="Y17" s="123">
        <f>LARGE((Table62345[[#This Row],[K1]:[Z4]]),1)</f>
        <v>32</v>
      </c>
      <c r="Z17" s="124">
        <f>LARGE((Table62345[[#This Row],[K1]:[Z4]]),2)</f>
        <v>29</v>
      </c>
      <c r="AA17" s="124">
        <f>LARGE((Table62345[[#This Row],[K1]:[Z4]]),3)</f>
        <v>25</v>
      </c>
      <c r="AB17" s="124">
        <f>LARGE((Table62345[[#This Row],[K1]:[Z4]]),4)</f>
        <v>25</v>
      </c>
      <c r="AC17" s="124">
        <f>LARGE((Table62345[[#This Row],[K1]:[Z4]]),5)</f>
        <v>22</v>
      </c>
      <c r="AD17" s="124">
        <f>LARGE((Table62345[[#This Row],[K1]:[Z4]]),6)</f>
        <v>20</v>
      </c>
      <c r="AE17" s="124">
        <f>LARGE((Table62345[[#This Row],[K1]:[Z4]]),7)</f>
        <v>19</v>
      </c>
      <c r="AF17" s="124">
        <f>LARGE((Table62345[[#This Row],[K1]:[Z4]]),8)</f>
        <v>3</v>
      </c>
      <c r="AG17" s="124">
        <f>LARGE((Table62345[[#This Row],[K1]:[Z4]]),9)</f>
        <v>0</v>
      </c>
      <c r="AH17" s="126">
        <f>LARGE((Table62345[[#This Row],[K1]:[Z4]]),10)</f>
        <v>0</v>
      </c>
      <c r="AI17" s="129">
        <f>SUM(Y17:AH17)</f>
        <v>175</v>
      </c>
      <c r="AJ17" s="123">
        <f>K17+AI17</f>
        <v>184</v>
      </c>
      <c r="AK17" s="11"/>
    </row>
    <row r="18" spans="1:37" ht="14.4" customHeight="1" x14ac:dyDescent="0.3">
      <c r="A18" s="59">
        <v>15</v>
      </c>
      <c r="B18" s="51">
        <v>221</v>
      </c>
      <c r="C18" t="str">
        <f>_xlfn.XLOOKUP(B18,Sheet2!B:B,Sheet2!C:C)</f>
        <v>Travis Mingay</v>
      </c>
      <c r="D18" s="52">
        <f>_xlfn.XLOOKUP(B18,Sheet2!B:B,Sheet2!G:G)</f>
        <v>1571</v>
      </c>
      <c r="E18" s="51" t="str">
        <f>_xlfn.XLOOKUP(B18,Sheet2!B:B,Sheet2!H:H)</f>
        <v>KZN</v>
      </c>
      <c r="F18" s="30" t="s">
        <v>53</v>
      </c>
      <c r="G18" s="123">
        <v>3</v>
      </c>
      <c r="H18" s="124">
        <v>3</v>
      </c>
      <c r="I18" s="124">
        <v>3</v>
      </c>
      <c r="J18" s="124">
        <v>3</v>
      </c>
      <c r="K18" s="130">
        <f>SUM(Table62345[[#This Row],[SARMC 1]:[SARMC 4]])</f>
        <v>12</v>
      </c>
      <c r="L18" s="123">
        <v>24</v>
      </c>
      <c r="M18" s="124">
        <v>30</v>
      </c>
      <c r="N18" s="126">
        <v>29</v>
      </c>
      <c r="O18" s="123">
        <v>19</v>
      </c>
      <c r="P18" s="124">
        <v>0</v>
      </c>
      <c r="Q18" s="126">
        <v>0</v>
      </c>
      <c r="R18" s="123">
        <v>22</v>
      </c>
      <c r="S18" s="124">
        <v>23</v>
      </c>
      <c r="T18" s="126">
        <v>21</v>
      </c>
      <c r="U18" s="123">
        <v>0</v>
      </c>
      <c r="V18" s="124">
        <v>0</v>
      </c>
      <c r="W18" s="124">
        <v>0</v>
      </c>
      <c r="X18" s="126">
        <v>0</v>
      </c>
      <c r="Y18" s="123">
        <f>LARGE((Table62345[[#This Row],[K1]:[Z4]]),1)</f>
        <v>30</v>
      </c>
      <c r="Z18" s="124">
        <f>LARGE((Table62345[[#This Row],[K1]:[Z4]]),2)</f>
        <v>29</v>
      </c>
      <c r="AA18" s="124">
        <f>LARGE((Table62345[[#This Row],[K1]:[Z4]]),3)</f>
        <v>24</v>
      </c>
      <c r="AB18" s="124">
        <f>LARGE((Table62345[[#This Row],[K1]:[Z4]]),4)</f>
        <v>23</v>
      </c>
      <c r="AC18" s="124">
        <f>LARGE((Table62345[[#This Row],[K1]:[Z4]]),5)</f>
        <v>22</v>
      </c>
      <c r="AD18" s="124">
        <f>LARGE((Table62345[[#This Row],[K1]:[Z4]]),6)</f>
        <v>21</v>
      </c>
      <c r="AE18" s="124">
        <f>LARGE((Table62345[[#This Row],[K1]:[Z4]]),7)</f>
        <v>19</v>
      </c>
      <c r="AF18" s="124">
        <f>LARGE((Table62345[[#This Row],[K1]:[Z4]]),8)</f>
        <v>0</v>
      </c>
      <c r="AG18" s="124">
        <f>LARGE((Table62345[[#This Row],[K1]:[Z4]]),9)</f>
        <v>0</v>
      </c>
      <c r="AH18" s="126">
        <f>LARGE((Table62345[[#This Row],[K1]:[Z4]]),10)</f>
        <v>0</v>
      </c>
      <c r="AI18" s="129">
        <f>SUM(Y18:AH18)</f>
        <v>168</v>
      </c>
      <c r="AJ18" s="123">
        <f>K18+AI18</f>
        <v>180</v>
      </c>
      <c r="AK18" s="11"/>
    </row>
    <row r="19" spans="1:37" ht="14.4" customHeight="1" x14ac:dyDescent="0.3">
      <c r="A19" s="59">
        <v>16</v>
      </c>
      <c r="B19" s="51">
        <v>354</v>
      </c>
      <c r="C19" t="str">
        <f>_xlfn.XLOOKUP(B19,Sheet2!B:B,Sheet2!C:C)</f>
        <v>Geo Christl</v>
      </c>
      <c r="D19" s="52">
        <f>_xlfn.XLOOKUP(B19,Sheet2!B:B,Sheet2!G:G)</f>
        <v>45264</v>
      </c>
      <c r="E19" s="51" t="str">
        <f>_xlfn.XLOOKUP(B19,Sheet2!B:B,Sheet2!H:H)</f>
        <v>WP</v>
      </c>
      <c r="F19" s="30" t="s">
        <v>333</v>
      </c>
      <c r="G19" s="123">
        <v>3</v>
      </c>
      <c r="H19" s="124">
        <v>3</v>
      </c>
      <c r="I19" s="124">
        <v>3</v>
      </c>
      <c r="J19" s="124">
        <v>3</v>
      </c>
      <c r="K19" s="130">
        <f>SUM(Table62345[[#This Row],[SARMC 1]:[SARMC 4]])</f>
        <v>12</v>
      </c>
      <c r="L19" s="123">
        <v>17</v>
      </c>
      <c r="M19" s="124">
        <v>19</v>
      </c>
      <c r="N19" s="126" t="s">
        <v>437</v>
      </c>
      <c r="O19" s="123">
        <v>21</v>
      </c>
      <c r="P19" s="124">
        <v>0</v>
      </c>
      <c r="Q19" s="126">
        <v>0</v>
      </c>
      <c r="R19" s="123">
        <v>11</v>
      </c>
      <c r="S19" s="124">
        <v>21</v>
      </c>
      <c r="T19" s="126">
        <v>17</v>
      </c>
      <c r="U19" s="123">
        <v>0</v>
      </c>
      <c r="V19" s="124">
        <v>13</v>
      </c>
      <c r="W19" s="124">
        <v>23</v>
      </c>
      <c r="X19" s="126">
        <v>26</v>
      </c>
      <c r="Y19" s="123">
        <f>LARGE((Table62345[[#This Row],[K1]:[Z4]]),1)</f>
        <v>26</v>
      </c>
      <c r="Z19" s="124">
        <f>LARGE((Table62345[[#This Row],[K1]:[Z4]]),2)</f>
        <v>23</v>
      </c>
      <c r="AA19" s="124">
        <f>LARGE((Table62345[[#This Row],[K1]:[Z4]]),3)</f>
        <v>21</v>
      </c>
      <c r="AB19" s="124">
        <f>LARGE((Table62345[[#This Row],[K1]:[Z4]]),4)</f>
        <v>21</v>
      </c>
      <c r="AC19" s="124">
        <f>LARGE((Table62345[[#This Row],[K1]:[Z4]]),5)</f>
        <v>19</v>
      </c>
      <c r="AD19" s="124">
        <f>LARGE((Table62345[[#This Row],[K1]:[Z4]]),6)</f>
        <v>17</v>
      </c>
      <c r="AE19" s="124">
        <f>LARGE((Table62345[[#This Row],[K1]:[Z4]]),7)</f>
        <v>17</v>
      </c>
      <c r="AF19" s="124">
        <f>LARGE((Table62345[[#This Row],[K1]:[Z4]]),8)</f>
        <v>13</v>
      </c>
      <c r="AG19" s="124">
        <f>LARGE((Table62345[[#This Row],[K1]:[Z4]]),9)</f>
        <v>11</v>
      </c>
      <c r="AH19" s="126">
        <f>LARGE((Table62345[[#This Row],[K1]:[Z4]]),10)</f>
        <v>0</v>
      </c>
      <c r="AI19" s="129">
        <f>SUM(Y19:AH19)</f>
        <v>168</v>
      </c>
      <c r="AJ19" s="123">
        <f>K19+AI19</f>
        <v>180</v>
      </c>
      <c r="AK19" s="11"/>
    </row>
    <row r="20" spans="1:37" ht="14.4" customHeight="1" x14ac:dyDescent="0.3">
      <c r="A20" s="59">
        <v>17</v>
      </c>
      <c r="B20" s="51">
        <v>347</v>
      </c>
      <c r="C20" t="str">
        <f>_xlfn.XLOOKUP(B20,Sheet2!B:B,Sheet2!C:C)</f>
        <v>Durelle Goodman</v>
      </c>
      <c r="D20" s="52">
        <f>_xlfn.XLOOKUP(B20,Sheet2!B:B,Sheet2!G:G)</f>
        <v>33971</v>
      </c>
      <c r="E20" s="51" t="str">
        <f>_xlfn.XLOOKUP(B20,Sheet2!B:B,Sheet2!H:H)</f>
        <v>NR</v>
      </c>
      <c r="F20" s="30" t="s">
        <v>504</v>
      </c>
      <c r="G20" s="123">
        <v>0</v>
      </c>
      <c r="H20" s="124">
        <v>3</v>
      </c>
      <c r="I20" s="124">
        <v>3</v>
      </c>
      <c r="J20" s="124">
        <v>0</v>
      </c>
      <c r="K20" s="130">
        <f>SUM(Table62345[[#This Row],[SARMC 1]:[SARMC 4]])</f>
        <v>6</v>
      </c>
      <c r="L20" s="123">
        <v>0</v>
      </c>
      <c r="M20" s="124">
        <v>0</v>
      </c>
      <c r="N20" s="126">
        <v>0</v>
      </c>
      <c r="O20" s="123">
        <v>8</v>
      </c>
      <c r="P20" s="124">
        <v>0</v>
      </c>
      <c r="Q20" s="126">
        <v>0</v>
      </c>
      <c r="R20" s="123">
        <v>24</v>
      </c>
      <c r="S20" s="124">
        <v>2</v>
      </c>
      <c r="T20" s="126">
        <v>22</v>
      </c>
      <c r="U20" s="123">
        <v>22</v>
      </c>
      <c r="V20" s="124">
        <v>26</v>
      </c>
      <c r="W20" s="124">
        <v>28</v>
      </c>
      <c r="X20" s="126">
        <v>18</v>
      </c>
      <c r="Y20" s="123">
        <f>LARGE((Table62345[[#This Row],[K1]:[Z4]]),1)</f>
        <v>28</v>
      </c>
      <c r="Z20" s="124">
        <f>LARGE((Table62345[[#This Row],[K1]:[Z4]]),2)</f>
        <v>26</v>
      </c>
      <c r="AA20" s="124">
        <f>LARGE((Table62345[[#This Row],[K1]:[Z4]]),3)</f>
        <v>24</v>
      </c>
      <c r="AB20" s="124">
        <f>LARGE((Table62345[[#This Row],[K1]:[Z4]]),4)</f>
        <v>22</v>
      </c>
      <c r="AC20" s="124">
        <f>LARGE((Table62345[[#This Row],[K1]:[Z4]]),5)</f>
        <v>22</v>
      </c>
      <c r="AD20" s="124">
        <f>LARGE((Table62345[[#This Row],[K1]:[Z4]]),6)</f>
        <v>18</v>
      </c>
      <c r="AE20" s="124">
        <f>LARGE((Table62345[[#This Row],[K1]:[Z4]]),7)</f>
        <v>8</v>
      </c>
      <c r="AF20" s="124">
        <f>LARGE((Table62345[[#This Row],[K1]:[Z4]]),8)</f>
        <v>2</v>
      </c>
      <c r="AG20" s="124">
        <f>LARGE((Table62345[[#This Row],[K1]:[Z4]]),9)</f>
        <v>0</v>
      </c>
      <c r="AH20" s="126">
        <f>LARGE((Table62345[[#This Row],[K1]:[Z4]]),10)</f>
        <v>0</v>
      </c>
      <c r="AI20" s="129">
        <f>SUM(Y20:AH20)</f>
        <v>150</v>
      </c>
      <c r="AJ20" s="123">
        <f>K20+AI20</f>
        <v>156</v>
      </c>
      <c r="AK20" s="11"/>
    </row>
    <row r="21" spans="1:37" ht="14.4" customHeight="1" x14ac:dyDescent="0.3">
      <c r="A21" s="59">
        <v>18</v>
      </c>
      <c r="B21" s="51">
        <v>237</v>
      </c>
      <c r="C21" t="str">
        <f>_xlfn.XLOOKUP(B21,Sheet2!B:B,Sheet2!C:C)</f>
        <v>Daniel Labuschagne</v>
      </c>
      <c r="D21" s="52">
        <f>_xlfn.XLOOKUP(B21,Sheet2!B:B,Sheet2!G:G)</f>
        <v>45097</v>
      </c>
      <c r="E21" s="51" t="str">
        <f>_xlfn.XLOOKUP(B21,Sheet2!B:B,Sheet2!H:H)</f>
        <v>WP</v>
      </c>
      <c r="F21" s="30" t="s">
        <v>448</v>
      </c>
      <c r="G21" s="123">
        <v>0</v>
      </c>
      <c r="H21" s="124">
        <v>2</v>
      </c>
      <c r="I21" s="124">
        <v>3</v>
      </c>
      <c r="J21" s="124">
        <v>3</v>
      </c>
      <c r="K21" s="130">
        <f>SUM(Table62345[[#This Row],[SARMC 1]:[SARMC 4]])</f>
        <v>8</v>
      </c>
      <c r="L21" s="123">
        <v>18</v>
      </c>
      <c r="M21" s="124" t="s">
        <v>467</v>
      </c>
      <c r="N21" s="126">
        <v>11</v>
      </c>
      <c r="O21" s="123">
        <v>14</v>
      </c>
      <c r="P21" s="124">
        <v>0</v>
      </c>
      <c r="Q21" s="126">
        <v>0</v>
      </c>
      <c r="R21" s="123">
        <v>12</v>
      </c>
      <c r="S21" s="124">
        <v>15</v>
      </c>
      <c r="T21" s="126">
        <v>12</v>
      </c>
      <c r="U21" s="123">
        <v>14</v>
      </c>
      <c r="V21" s="124">
        <v>11</v>
      </c>
      <c r="W21" s="124">
        <v>15</v>
      </c>
      <c r="X21" s="126">
        <v>22</v>
      </c>
      <c r="Y21" s="123">
        <f>LARGE((Table62345[[#This Row],[K1]:[Z4]]),1)</f>
        <v>22</v>
      </c>
      <c r="Z21" s="124">
        <f>LARGE((Table62345[[#This Row],[K1]:[Z4]]),2)</f>
        <v>18</v>
      </c>
      <c r="AA21" s="124">
        <f>LARGE((Table62345[[#This Row],[K1]:[Z4]]),3)</f>
        <v>15</v>
      </c>
      <c r="AB21" s="124">
        <f>LARGE((Table62345[[#This Row],[K1]:[Z4]]),4)</f>
        <v>15</v>
      </c>
      <c r="AC21" s="124">
        <f>LARGE((Table62345[[#This Row],[K1]:[Z4]]),5)</f>
        <v>14</v>
      </c>
      <c r="AD21" s="124">
        <f>LARGE((Table62345[[#This Row],[K1]:[Z4]]),6)</f>
        <v>14</v>
      </c>
      <c r="AE21" s="124">
        <f>LARGE((Table62345[[#This Row],[K1]:[Z4]]),7)</f>
        <v>12</v>
      </c>
      <c r="AF21" s="124">
        <f>LARGE((Table62345[[#This Row],[K1]:[Z4]]),8)</f>
        <v>12</v>
      </c>
      <c r="AG21" s="124">
        <f>LARGE((Table62345[[#This Row],[K1]:[Z4]]),9)</f>
        <v>11</v>
      </c>
      <c r="AH21" s="126">
        <f>LARGE((Table62345[[#This Row],[K1]:[Z4]]),10)</f>
        <v>11</v>
      </c>
      <c r="AI21" s="129">
        <f>SUM(Y21:AH21)</f>
        <v>144</v>
      </c>
      <c r="AJ21" s="123">
        <f>K21+AI21</f>
        <v>152</v>
      </c>
      <c r="AK21" s="11"/>
    </row>
    <row r="22" spans="1:37" ht="14.4" customHeight="1" x14ac:dyDescent="0.3">
      <c r="A22" s="59">
        <v>19</v>
      </c>
      <c r="B22" s="51">
        <v>348</v>
      </c>
      <c r="C22" t="str">
        <f>_xlfn.XLOOKUP(B22,Sheet2!B:B,Sheet2!C:C)</f>
        <v>Thamsanqa Konki</v>
      </c>
      <c r="D22" s="52">
        <f>_xlfn.XLOOKUP(B22,Sheet2!B:B,Sheet2!G:G)</f>
        <v>45926</v>
      </c>
      <c r="E22" s="51" t="str">
        <f>_xlfn.XLOOKUP(B22,Sheet2!B:B,Sheet2!H:H)</f>
        <v>NR</v>
      </c>
      <c r="F22" s="30" t="str">
        <f>_xlfn.XLOOKUP(B22,Sheet2!B:B,Sheet2!D:D)</f>
        <v>FK</v>
      </c>
      <c r="G22" s="123">
        <v>3</v>
      </c>
      <c r="H22" s="124">
        <v>3</v>
      </c>
      <c r="I22" s="124">
        <v>3</v>
      </c>
      <c r="J22" s="124">
        <v>3</v>
      </c>
      <c r="K22" s="130">
        <f>SUM(Table62345[[#This Row],[SARMC 1]:[SARMC 4]])</f>
        <v>12</v>
      </c>
      <c r="L22" s="123">
        <v>9</v>
      </c>
      <c r="M22" s="124">
        <v>10</v>
      </c>
      <c r="N22" s="126">
        <v>15</v>
      </c>
      <c r="O22" s="123">
        <v>17</v>
      </c>
      <c r="P22" s="124">
        <v>0</v>
      </c>
      <c r="Q22" s="126">
        <v>0</v>
      </c>
      <c r="R22" s="123">
        <v>8</v>
      </c>
      <c r="S22" s="124">
        <v>9</v>
      </c>
      <c r="T22" s="126">
        <v>11</v>
      </c>
      <c r="U22" s="123">
        <v>20</v>
      </c>
      <c r="V22" s="124">
        <v>18</v>
      </c>
      <c r="W22" s="124">
        <v>14</v>
      </c>
      <c r="X22" s="126">
        <v>7</v>
      </c>
      <c r="Y22" s="123">
        <f>LARGE((Table62345[[#This Row],[K1]:[Z4]]),1)</f>
        <v>20</v>
      </c>
      <c r="Z22" s="124">
        <f>LARGE((Table62345[[#This Row],[K1]:[Z4]]),2)</f>
        <v>18</v>
      </c>
      <c r="AA22" s="124">
        <f>LARGE((Table62345[[#This Row],[K1]:[Z4]]),3)</f>
        <v>17</v>
      </c>
      <c r="AB22" s="124">
        <f>LARGE((Table62345[[#This Row],[K1]:[Z4]]),4)</f>
        <v>15</v>
      </c>
      <c r="AC22" s="124">
        <f>LARGE((Table62345[[#This Row],[K1]:[Z4]]),5)</f>
        <v>14</v>
      </c>
      <c r="AD22" s="124">
        <f>LARGE((Table62345[[#This Row],[K1]:[Z4]]),6)</f>
        <v>11</v>
      </c>
      <c r="AE22" s="124">
        <f>LARGE((Table62345[[#This Row],[K1]:[Z4]]),7)</f>
        <v>10</v>
      </c>
      <c r="AF22" s="124">
        <f>LARGE((Table62345[[#This Row],[K1]:[Z4]]),8)</f>
        <v>9</v>
      </c>
      <c r="AG22" s="124">
        <f>LARGE((Table62345[[#This Row],[K1]:[Z4]]),9)</f>
        <v>9</v>
      </c>
      <c r="AH22" s="126">
        <f>LARGE((Table62345[[#This Row],[K1]:[Z4]]),10)</f>
        <v>8</v>
      </c>
      <c r="AI22" s="129">
        <f>SUM(Y22:AH22)</f>
        <v>131</v>
      </c>
      <c r="AJ22" s="123">
        <f>K22+AI22</f>
        <v>143</v>
      </c>
      <c r="AK22" s="11"/>
    </row>
    <row r="23" spans="1:37" ht="14.4" customHeight="1" x14ac:dyDescent="0.3">
      <c r="A23" s="59">
        <v>20</v>
      </c>
      <c r="B23" s="51">
        <v>287</v>
      </c>
      <c r="C23" t="str">
        <f>_xlfn.XLOOKUP(B23,Sheet2!B:B,Sheet2!C:C)</f>
        <v>Aikhil Naicker</v>
      </c>
      <c r="D23" s="52">
        <f>_xlfn.XLOOKUP(B23,Sheet2!B:B,Sheet2!G:G)</f>
        <v>45720</v>
      </c>
      <c r="E23" s="51" t="str">
        <f>_xlfn.XLOOKUP(B23,Sheet2!B:B,Sheet2!H:H)</f>
        <v>NR</v>
      </c>
      <c r="F23" s="30" t="s">
        <v>353</v>
      </c>
      <c r="G23" s="123">
        <v>3</v>
      </c>
      <c r="H23" s="124">
        <v>3</v>
      </c>
      <c r="I23" s="124">
        <v>3</v>
      </c>
      <c r="J23" s="124">
        <v>3</v>
      </c>
      <c r="K23" s="130">
        <f>SUM(Table62345[[#This Row],[SARMC 1]:[SARMC 4]])</f>
        <v>12</v>
      </c>
      <c r="L23" s="123">
        <v>11</v>
      </c>
      <c r="M23" s="124">
        <v>13</v>
      </c>
      <c r="N23" s="126">
        <v>13</v>
      </c>
      <c r="O23" s="123">
        <v>2</v>
      </c>
      <c r="P23" s="124">
        <v>0</v>
      </c>
      <c r="Q23" s="126">
        <v>0</v>
      </c>
      <c r="R23" s="123">
        <v>13</v>
      </c>
      <c r="S23" s="124">
        <v>16</v>
      </c>
      <c r="T23" s="126">
        <v>10</v>
      </c>
      <c r="U23" s="123">
        <v>4</v>
      </c>
      <c r="V23" s="124">
        <v>14</v>
      </c>
      <c r="W23" s="124">
        <v>13</v>
      </c>
      <c r="X23" s="126">
        <v>17</v>
      </c>
      <c r="Y23" s="123">
        <f>LARGE((Table62345[[#This Row],[K1]:[Z4]]),1)</f>
        <v>17</v>
      </c>
      <c r="Z23" s="124">
        <f>LARGE((Table62345[[#This Row],[K1]:[Z4]]),2)</f>
        <v>16</v>
      </c>
      <c r="AA23" s="124">
        <f>LARGE((Table62345[[#This Row],[K1]:[Z4]]),3)</f>
        <v>14</v>
      </c>
      <c r="AB23" s="124">
        <f>LARGE((Table62345[[#This Row],[K1]:[Z4]]),4)</f>
        <v>13</v>
      </c>
      <c r="AC23" s="124">
        <f>LARGE((Table62345[[#This Row],[K1]:[Z4]]),5)</f>
        <v>13</v>
      </c>
      <c r="AD23" s="124">
        <f>LARGE((Table62345[[#This Row],[K1]:[Z4]]),6)</f>
        <v>13</v>
      </c>
      <c r="AE23" s="124">
        <f>LARGE((Table62345[[#This Row],[K1]:[Z4]]),7)</f>
        <v>13</v>
      </c>
      <c r="AF23" s="124">
        <f>LARGE((Table62345[[#This Row],[K1]:[Z4]]),8)</f>
        <v>11</v>
      </c>
      <c r="AG23" s="124">
        <f>LARGE((Table62345[[#This Row],[K1]:[Z4]]),9)</f>
        <v>10</v>
      </c>
      <c r="AH23" s="126">
        <f>LARGE((Table62345[[#This Row],[K1]:[Z4]]),10)</f>
        <v>4</v>
      </c>
      <c r="AI23" s="129">
        <f>SUM(Y23:AH23)</f>
        <v>124</v>
      </c>
      <c r="AJ23" s="123">
        <f>K23+AI23</f>
        <v>136</v>
      </c>
      <c r="AK23" s="11"/>
    </row>
    <row r="24" spans="1:37" ht="14.4" customHeight="1" x14ac:dyDescent="0.3">
      <c r="A24" s="59">
        <v>21</v>
      </c>
      <c r="B24" s="51">
        <v>275</v>
      </c>
      <c r="C24" t="str">
        <f>_xlfn.XLOOKUP(B24,Sheet2!B:B,Sheet2!C:C)</f>
        <v>Tristan Botha</v>
      </c>
      <c r="D24" s="52">
        <f>_xlfn.XLOOKUP(B24,Sheet2!B:B,Sheet2!G:G)</f>
        <v>42300</v>
      </c>
      <c r="E24" s="51" t="str">
        <f>_xlfn.XLOOKUP(B24,Sheet2!B:B,Sheet2!H:H)</f>
        <v>WP</v>
      </c>
      <c r="F24" s="30" t="s">
        <v>448</v>
      </c>
      <c r="G24" s="123">
        <v>3</v>
      </c>
      <c r="H24" s="124">
        <v>3</v>
      </c>
      <c r="I24" s="124">
        <v>3</v>
      </c>
      <c r="J24" s="124">
        <v>3</v>
      </c>
      <c r="K24" s="130">
        <f>SUM(Table62345[[#This Row],[SARMC 1]:[SARMC 4]])</f>
        <v>12</v>
      </c>
      <c r="L24" s="123">
        <v>12</v>
      </c>
      <c r="M24" s="124">
        <v>16</v>
      </c>
      <c r="N24" s="126">
        <v>10</v>
      </c>
      <c r="O24" s="123">
        <v>15</v>
      </c>
      <c r="P24" s="124">
        <v>0</v>
      </c>
      <c r="Q24" s="126">
        <v>0</v>
      </c>
      <c r="R24" s="123">
        <v>14</v>
      </c>
      <c r="S24" s="124">
        <v>14</v>
      </c>
      <c r="T24" s="126">
        <v>3</v>
      </c>
      <c r="U24" s="123">
        <v>5</v>
      </c>
      <c r="V24" s="124">
        <v>10</v>
      </c>
      <c r="W24" s="124">
        <v>11</v>
      </c>
      <c r="X24" s="126">
        <v>9</v>
      </c>
      <c r="Y24" s="123">
        <f>LARGE((Table62345[[#This Row],[K1]:[Z4]]),1)</f>
        <v>16</v>
      </c>
      <c r="Z24" s="124">
        <f>LARGE((Table62345[[#This Row],[K1]:[Z4]]),2)</f>
        <v>15</v>
      </c>
      <c r="AA24" s="124">
        <f>LARGE((Table62345[[#This Row],[K1]:[Z4]]),3)</f>
        <v>14</v>
      </c>
      <c r="AB24" s="124">
        <f>LARGE((Table62345[[#This Row],[K1]:[Z4]]),4)</f>
        <v>14</v>
      </c>
      <c r="AC24" s="124">
        <f>LARGE((Table62345[[#This Row],[K1]:[Z4]]),5)</f>
        <v>12</v>
      </c>
      <c r="AD24" s="124">
        <f>LARGE((Table62345[[#This Row],[K1]:[Z4]]),6)</f>
        <v>11</v>
      </c>
      <c r="AE24" s="124">
        <f>LARGE((Table62345[[#This Row],[K1]:[Z4]]),7)</f>
        <v>10</v>
      </c>
      <c r="AF24" s="124">
        <f>LARGE((Table62345[[#This Row],[K1]:[Z4]]),8)</f>
        <v>10</v>
      </c>
      <c r="AG24" s="124">
        <f>LARGE((Table62345[[#This Row],[K1]:[Z4]]),9)</f>
        <v>9</v>
      </c>
      <c r="AH24" s="126">
        <f>LARGE((Table62345[[#This Row],[K1]:[Z4]]),10)</f>
        <v>5</v>
      </c>
      <c r="AI24" s="129">
        <f>SUM(Y24:AH24)</f>
        <v>116</v>
      </c>
      <c r="AJ24" s="123">
        <f>K24+AI24</f>
        <v>128</v>
      </c>
      <c r="AK24" s="11"/>
    </row>
    <row r="25" spans="1:37" ht="14.4" customHeight="1" x14ac:dyDescent="0.3">
      <c r="A25" s="59">
        <v>22</v>
      </c>
      <c r="B25" s="51">
        <v>393</v>
      </c>
      <c r="C25" t="str">
        <f>_xlfn.XLOOKUP(B25,Sheet2!B:B,Sheet2!C:C)</f>
        <v>Liam Teubes</v>
      </c>
      <c r="D25" s="52" t="str">
        <f>_xlfn.XLOOKUP(B25,Sheet2!B:B,Sheet2!G:G)</f>
        <v>S152</v>
      </c>
      <c r="E25" s="51" t="str">
        <f>_xlfn.XLOOKUP(B25,Sheet2!B:B,Sheet2!H:H)</f>
        <v>WP</v>
      </c>
      <c r="F25" s="30" t="str">
        <f>_xlfn.XLOOKUP(B25,Sheet2!B:B,Sheet2!D:D)</f>
        <v>CRG</v>
      </c>
      <c r="G25" s="123">
        <v>0</v>
      </c>
      <c r="H25" s="124">
        <v>3</v>
      </c>
      <c r="I25" s="124">
        <v>3</v>
      </c>
      <c r="J25" s="124">
        <v>3</v>
      </c>
      <c r="K25" s="130">
        <f>SUM(Table62345[[#This Row],[SARMC 1]:[SARMC 4]])</f>
        <v>9</v>
      </c>
      <c r="L25" s="123">
        <v>10</v>
      </c>
      <c r="M25" s="136">
        <v>15</v>
      </c>
      <c r="N25" s="126">
        <v>12</v>
      </c>
      <c r="O25" s="123">
        <v>0</v>
      </c>
      <c r="P25" s="136">
        <v>0</v>
      </c>
      <c r="Q25" s="126">
        <v>0</v>
      </c>
      <c r="R25" s="123">
        <v>0</v>
      </c>
      <c r="S25" s="136">
        <v>0</v>
      </c>
      <c r="T25" s="126">
        <v>0</v>
      </c>
      <c r="U25" s="123">
        <v>17</v>
      </c>
      <c r="V25" s="136">
        <v>15</v>
      </c>
      <c r="W25" s="136">
        <v>19</v>
      </c>
      <c r="X25" s="126">
        <v>23</v>
      </c>
      <c r="Y25" s="123">
        <f>LARGE((Table62345[[#This Row],[K1]:[Z4]]),1)</f>
        <v>23</v>
      </c>
      <c r="Z25" s="136">
        <f>LARGE((Table62345[[#This Row],[K1]:[Z4]]),2)</f>
        <v>19</v>
      </c>
      <c r="AA25" s="136">
        <f>LARGE((Table62345[[#This Row],[K1]:[Z4]]),3)</f>
        <v>17</v>
      </c>
      <c r="AB25" s="136">
        <f>LARGE((Table62345[[#This Row],[K1]:[Z4]]),4)</f>
        <v>15</v>
      </c>
      <c r="AC25" s="136">
        <f>LARGE((Table62345[[#This Row],[K1]:[Z4]]),5)</f>
        <v>15</v>
      </c>
      <c r="AD25" s="136">
        <f>LARGE((Table62345[[#This Row],[K1]:[Z4]]),6)</f>
        <v>12</v>
      </c>
      <c r="AE25" s="136">
        <f>LARGE((Table62345[[#This Row],[K1]:[Z4]]),7)</f>
        <v>10</v>
      </c>
      <c r="AF25" s="136">
        <f>LARGE((Table62345[[#This Row],[K1]:[Z4]]),8)</f>
        <v>0</v>
      </c>
      <c r="AG25" s="136">
        <f>LARGE((Table62345[[#This Row],[K1]:[Z4]]),9)</f>
        <v>0</v>
      </c>
      <c r="AH25" s="126">
        <f>LARGE((Table62345[[#This Row],[K1]:[Z4]]),10)</f>
        <v>0</v>
      </c>
      <c r="AI25" s="129">
        <f>SUM(Y25:AH25)</f>
        <v>111</v>
      </c>
      <c r="AJ25" s="123">
        <f>K25+AI25</f>
        <v>120</v>
      </c>
      <c r="AK25" s="11"/>
    </row>
    <row r="26" spans="1:37" ht="14.4" customHeight="1" x14ac:dyDescent="0.3">
      <c r="A26" s="59">
        <v>23</v>
      </c>
      <c r="B26" s="51">
        <v>247</v>
      </c>
      <c r="C26" t="str">
        <f>_xlfn.XLOOKUP(B26,Sheet2!B:B,Sheet2!C:C)</f>
        <v>Roshaan Goodman</v>
      </c>
      <c r="D26" s="52">
        <f>_xlfn.XLOOKUP(B26,Sheet2!B:B,Sheet2!G:G)</f>
        <v>33868</v>
      </c>
      <c r="E26" s="51" t="str">
        <f>_xlfn.XLOOKUP(B26,Sheet2!B:B,Sheet2!H:H)</f>
        <v>NR</v>
      </c>
      <c r="F26" s="30" t="str">
        <f>_xlfn.XLOOKUP(B26,Sheet2!B:B,Sheet2!D:D)</f>
        <v>EXPRIT</v>
      </c>
      <c r="G26" s="123">
        <v>0</v>
      </c>
      <c r="H26" s="124">
        <v>3</v>
      </c>
      <c r="I26" s="124">
        <v>3</v>
      </c>
      <c r="J26" s="124">
        <v>0</v>
      </c>
      <c r="K26" s="130">
        <f>SUM(Table62345[[#This Row],[SARMC 1]:[SARMC 4]])</f>
        <v>6</v>
      </c>
      <c r="L26" s="123">
        <v>0</v>
      </c>
      <c r="M26" s="124">
        <v>0</v>
      </c>
      <c r="N26" s="126">
        <v>0</v>
      </c>
      <c r="O26" s="123">
        <v>22</v>
      </c>
      <c r="P26" s="124">
        <v>0</v>
      </c>
      <c r="Q26" s="126">
        <v>0</v>
      </c>
      <c r="R26" s="123">
        <v>27</v>
      </c>
      <c r="S26" s="124">
        <v>8</v>
      </c>
      <c r="T26" s="126">
        <v>19</v>
      </c>
      <c r="U26" s="123">
        <v>26</v>
      </c>
      <c r="V26" s="124">
        <v>3</v>
      </c>
      <c r="W26" s="124">
        <v>0</v>
      </c>
      <c r="X26" s="126">
        <v>5</v>
      </c>
      <c r="Y26" s="123">
        <f>LARGE((Table62345[[#This Row],[K1]:[Z4]]),1)</f>
        <v>27</v>
      </c>
      <c r="Z26" s="124">
        <f>LARGE((Table62345[[#This Row],[K1]:[Z4]]),2)</f>
        <v>26</v>
      </c>
      <c r="AA26" s="124">
        <f>LARGE((Table62345[[#This Row],[K1]:[Z4]]),3)</f>
        <v>22</v>
      </c>
      <c r="AB26" s="124">
        <f>LARGE((Table62345[[#This Row],[K1]:[Z4]]),4)</f>
        <v>19</v>
      </c>
      <c r="AC26" s="124">
        <f>LARGE((Table62345[[#This Row],[K1]:[Z4]]),5)</f>
        <v>8</v>
      </c>
      <c r="AD26" s="124">
        <f>LARGE((Table62345[[#This Row],[K1]:[Z4]]),6)</f>
        <v>5</v>
      </c>
      <c r="AE26" s="124">
        <f>LARGE((Table62345[[#This Row],[K1]:[Z4]]),7)</f>
        <v>3</v>
      </c>
      <c r="AF26" s="124">
        <f>LARGE((Table62345[[#This Row],[K1]:[Z4]]),8)</f>
        <v>0</v>
      </c>
      <c r="AG26" s="124">
        <f>LARGE((Table62345[[#This Row],[K1]:[Z4]]),9)</f>
        <v>0</v>
      </c>
      <c r="AH26" s="126">
        <f>LARGE((Table62345[[#This Row],[K1]:[Z4]]),10)</f>
        <v>0</v>
      </c>
      <c r="AI26" s="129">
        <f>SUM(Y26:AH26)</f>
        <v>110</v>
      </c>
      <c r="AJ26" s="123">
        <f>K26+AI26</f>
        <v>116</v>
      </c>
      <c r="AK26" s="11"/>
    </row>
    <row r="27" spans="1:37" ht="14.4" x14ac:dyDescent="0.3">
      <c r="A27" s="59">
        <v>24</v>
      </c>
      <c r="B27" s="51">
        <v>308</v>
      </c>
      <c r="C27" t="str">
        <f>_xlfn.XLOOKUP(B27,Sheet2!B:B,Sheet2!C:C)</f>
        <v>Ayden Koen</v>
      </c>
      <c r="D27" s="52">
        <f>_xlfn.XLOOKUP(B27,Sheet2!B:B,Sheet2!G:G)</f>
        <v>37585</v>
      </c>
      <c r="E27" s="51" t="str">
        <f>_xlfn.XLOOKUP(B27,Sheet2!B:B,Sheet2!H:H)</f>
        <v>NR</v>
      </c>
      <c r="F27" s="30" t="str">
        <f>_xlfn.XLOOKUP(B27,Sheet2!B:B,Sheet2!D:D)</f>
        <v>TONY</v>
      </c>
      <c r="G27" s="123">
        <v>3</v>
      </c>
      <c r="H27" s="124">
        <v>3</v>
      </c>
      <c r="I27" s="124">
        <v>3</v>
      </c>
      <c r="J27" s="124">
        <v>3</v>
      </c>
      <c r="K27" s="130">
        <f>SUM(Table62345[[#This Row],[SARMC 1]:[SARMC 4]])</f>
        <v>12</v>
      </c>
      <c r="L27" s="123">
        <v>13</v>
      </c>
      <c r="M27" s="124">
        <v>14</v>
      </c>
      <c r="N27" s="126">
        <v>17</v>
      </c>
      <c r="O27" s="123" t="s">
        <v>467</v>
      </c>
      <c r="P27" s="124">
        <v>0</v>
      </c>
      <c r="Q27" s="126">
        <v>0</v>
      </c>
      <c r="R27" s="123">
        <v>21</v>
      </c>
      <c r="S27" s="124">
        <v>17</v>
      </c>
      <c r="T27" s="126">
        <v>20</v>
      </c>
      <c r="U27" s="123">
        <v>0</v>
      </c>
      <c r="V27" s="124">
        <v>0</v>
      </c>
      <c r="W27" s="124">
        <v>0</v>
      </c>
      <c r="X27" s="126">
        <v>0</v>
      </c>
      <c r="Y27" s="123">
        <f>LARGE((Table62345[[#This Row],[K1]:[Z4]]),1)</f>
        <v>21</v>
      </c>
      <c r="Z27" s="124">
        <f>LARGE((Table62345[[#This Row],[K1]:[Z4]]),2)</f>
        <v>20</v>
      </c>
      <c r="AA27" s="124">
        <f>LARGE((Table62345[[#This Row],[K1]:[Z4]]),3)</f>
        <v>17</v>
      </c>
      <c r="AB27" s="124">
        <f>LARGE((Table62345[[#This Row],[K1]:[Z4]]),4)</f>
        <v>17</v>
      </c>
      <c r="AC27" s="124">
        <f>LARGE((Table62345[[#This Row],[K1]:[Z4]]),5)</f>
        <v>14</v>
      </c>
      <c r="AD27" s="124">
        <f>LARGE((Table62345[[#This Row],[K1]:[Z4]]),6)</f>
        <v>13</v>
      </c>
      <c r="AE27" s="124">
        <f>LARGE((Table62345[[#This Row],[K1]:[Z4]]),7)</f>
        <v>0</v>
      </c>
      <c r="AF27" s="124">
        <f>LARGE((Table62345[[#This Row],[K1]:[Z4]]),8)</f>
        <v>0</v>
      </c>
      <c r="AG27" s="124">
        <f>LARGE((Table62345[[#This Row],[K1]:[Z4]]),9)</f>
        <v>0</v>
      </c>
      <c r="AH27" s="126">
        <f>LARGE((Table62345[[#This Row],[K1]:[Z4]]),10)</f>
        <v>0</v>
      </c>
      <c r="AI27" s="129">
        <f>SUM(Y27:AH27)</f>
        <v>102</v>
      </c>
      <c r="AJ27" s="123">
        <f>K27+AI27</f>
        <v>114</v>
      </c>
      <c r="AK27" s="11"/>
    </row>
    <row r="28" spans="1:37" ht="14.4" customHeight="1" x14ac:dyDescent="0.3">
      <c r="A28" s="59">
        <v>25</v>
      </c>
      <c r="B28" s="51">
        <v>333</v>
      </c>
      <c r="C28" t="str">
        <f>_xlfn.XLOOKUP(B28,Sheet2!B:B,Sheet2!C:C)</f>
        <v>Liam Pillay</v>
      </c>
      <c r="D28" s="52">
        <f>_xlfn.XLOOKUP(B28,Sheet2!B:B,Sheet2!G:G)</f>
        <v>45508</v>
      </c>
      <c r="E28" s="51" t="str">
        <f>_xlfn.XLOOKUP(B28,Sheet2!B:B,Sheet2!H:H)</f>
        <v>NR</v>
      </c>
      <c r="F28" s="30" t="s">
        <v>334</v>
      </c>
      <c r="G28" s="123">
        <v>2</v>
      </c>
      <c r="H28" s="124">
        <v>3</v>
      </c>
      <c r="I28" s="124">
        <v>3</v>
      </c>
      <c r="J28" s="124">
        <v>3</v>
      </c>
      <c r="K28" s="130">
        <f>SUM(Table62345[[#This Row],[SARMC 1]:[SARMC 4]])</f>
        <v>11</v>
      </c>
      <c r="L28" s="123">
        <v>0</v>
      </c>
      <c r="M28" s="124">
        <v>0</v>
      </c>
      <c r="N28" s="126">
        <v>0</v>
      </c>
      <c r="O28" s="123">
        <v>18</v>
      </c>
      <c r="P28" s="124">
        <v>0</v>
      </c>
      <c r="Q28" s="126">
        <v>0</v>
      </c>
      <c r="R28" s="123">
        <v>9</v>
      </c>
      <c r="S28" s="124">
        <v>10</v>
      </c>
      <c r="T28" s="126">
        <v>16</v>
      </c>
      <c r="U28" s="123">
        <v>9</v>
      </c>
      <c r="V28" s="124" t="s">
        <v>467</v>
      </c>
      <c r="W28" s="124">
        <v>16</v>
      </c>
      <c r="X28" s="126">
        <v>20</v>
      </c>
      <c r="Y28" s="123">
        <f>LARGE((Table62345[[#This Row],[K1]:[Z4]]),1)</f>
        <v>20</v>
      </c>
      <c r="Z28" s="124">
        <f>LARGE((Table62345[[#This Row],[K1]:[Z4]]),2)</f>
        <v>18</v>
      </c>
      <c r="AA28" s="124">
        <f>LARGE((Table62345[[#This Row],[K1]:[Z4]]),3)</f>
        <v>16</v>
      </c>
      <c r="AB28" s="124">
        <f>LARGE((Table62345[[#This Row],[K1]:[Z4]]),4)</f>
        <v>16</v>
      </c>
      <c r="AC28" s="124">
        <f>LARGE((Table62345[[#This Row],[K1]:[Z4]]),5)</f>
        <v>10</v>
      </c>
      <c r="AD28" s="124">
        <f>LARGE((Table62345[[#This Row],[K1]:[Z4]]),6)</f>
        <v>9</v>
      </c>
      <c r="AE28" s="124">
        <f>LARGE((Table62345[[#This Row],[K1]:[Z4]]),7)</f>
        <v>9</v>
      </c>
      <c r="AF28" s="124">
        <f>LARGE((Table62345[[#This Row],[K1]:[Z4]]),8)</f>
        <v>0</v>
      </c>
      <c r="AG28" s="124">
        <f>LARGE((Table62345[[#This Row],[K1]:[Z4]]),9)</f>
        <v>0</v>
      </c>
      <c r="AH28" s="126">
        <f>LARGE((Table62345[[#This Row],[K1]:[Z4]]),10)</f>
        <v>0</v>
      </c>
      <c r="AI28" s="129">
        <f>SUM(Y28:AH28)</f>
        <v>98</v>
      </c>
      <c r="AJ28" s="123">
        <f>K28+AI28</f>
        <v>109</v>
      </c>
      <c r="AK28" s="11"/>
    </row>
    <row r="29" spans="1:37" ht="14.4" customHeight="1" x14ac:dyDescent="0.3">
      <c r="A29" s="59">
        <v>26</v>
      </c>
      <c r="B29" s="51">
        <v>285</v>
      </c>
      <c r="C29" t="str">
        <f>_xlfn.XLOOKUP(B29,Sheet2!B:B,Sheet2!C:C)</f>
        <v>Lulama Ngobeni</v>
      </c>
      <c r="D29" s="52">
        <f>_xlfn.XLOOKUP(B29,Sheet2!B:B,Sheet2!G:G)</f>
        <v>43213</v>
      </c>
      <c r="E29" s="51" t="str">
        <f>_xlfn.XLOOKUP(B29,Sheet2!B:B,Sheet2!H:H)</f>
        <v>NR</v>
      </c>
      <c r="F29" s="30" t="str">
        <f>_xlfn.XLOOKUP(B29,Sheet2!B:B,Sheet2!D:D)</f>
        <v>TONY</v>
      </c>
      <c r="G29" s="123">
        <v>3</v>
      </c>
      <c r="H29" s="124">
        <v>3</v>
      </c>
      <c r="I29" s="124">
        <v>3</v>
      </c>
      <c r="J29" s="124">
        <v>0</v>
      </c>
      <c r="K29" s="130">
        <f>SUM(Table62345[[#This Row],[SARMC 1]:[SARMC 4]])</f>
        <v>9</v>
      </c>
      <c r="L29" s="123">
        <v>14</v>
      </c>
      <c r="M29" s="124">
        <v>11</v>
      </c>
      <c r="N29" s="126">
        <v>9</v>
      </c>
      <c r="O29" s="123">
        <v>12</v>
      </c>
      <c r="P29" s="124">
        <v>0</v>
      </c>
      <c r="Q29" s="126">
        <v>0</v>
      </c>
      <c r="R29" s="123">
        <v>16</v>
      </c>
      <c r="S29" s="124">
        <v>11</v>
      </c>
      <c r="T29" s="126">
        <v>15</v>
      </c>
      <c r="U29" s="123">
        <v>0</v>
      </c>
      <c r="V29" s="124">
        <v>0</v>
      </c>
      <c r="W29" s="124">
        <v>0</v>
      </c>
      <c r="X29" s="126">
        <v>0</v>
      </c>
      <c r="Y29" s="123">
        <f>LARGE((Table62345[[#This Row],[K1]:[Z4]]),1)</f>
        <v>16</v>
      </c>
      <c r="Z29" s="124">
        <f>LARGE((Table62345[[#This Row],[K1]:[Z4]]),2)</f>
        <v>15</v>
      </c>
      <c r="AA29" s="124">
        <f>LARGE((Table62345[[#This Row],[K1]:[Z4]]),3)</f>
        <v>14</v>
      </c>
      <c r="AB29" s="124">
        <f>LARGE((Table62345[[#This Row],[K1]:[Z4]]),4)</f>
        <v>12</v>
      </c>
      <c r="AC29" s="124">
        <f>LARGE((Table62345[[#This Row],[K1]:[Z4]]),5)</f>
        <v>11</v>
      </c>
      <c r="AD29" s="124">
        <f>LARGE((Table62345[[#This Row],[K1]:[Z4]]),6)</f>
        <v>11</v>
      </c>
      <c r="AE29" s="124">
        <f>LARGE((Table62345[[#This Row],[K1]:[Z4]]),7)</f>
        <v>9</v>
      </c>
      <c r="AF29" s="124">
        <f>LARGE((Table62345[[#This Row],[K1]:[Z4]]),8)</f>
        <v>0</v>
      </c>
      <c r="AG29" s="124">
        <f>LARGE((Table62345[[#This Row],[K1]:[Z4]]),9)</f>
        <v>0</v>
      </c>
      <c r="AH29" s="126">
        <f>LARGE((Table62345[[#This Row],[K1]:[Z4]]),10)</f>
        <v>0</v>
      </c>
      <c r="AI29" s="129">
        <f>SUM(Y29:AH29)</f>
        <v>88</v>
      </c>
      <c r="AJ29" s="123">
        <f>K29+AI29</f>
        <v>97</v>
      </c>
      <c r="AK29" s="11"/>
    </row>
    <row r="30" spans="1:37" ht="14.4" customHeight="1" x14ac:dyDescent="0.3">
      <c r="A30" s="59">
        <v>27</v>
      </c>
      <c r="B30" s="51">
        <v>280</v>
      </c>
      <c r="C30" t="str">
        <f>_xlfn.XLOOKUP(B30,Sheet2!B:B,Sheet2!C:C)</f>
        <v>Samar Maharaj</v>
      </c>
      <c r="D30" s="52">
        <f>_xlfn.XLOOKUP(B30,Sheet2!B:B,Sheet2!G:G)</f>
        <v>45117</v>
      </c>
      <c r="E30" s="51" t="str">
        <f>_xlfn.XLOOKUP(B30,Sheet2!B:B,Sheet2!H:H)</f>
        <v>NR</v>
      </c>
      <c r="F30" s="30" t="str">
        <f>_xlfn.XLOOKUP(B30,Sheet2!B:B,Sheet2!D:D)</f>
        <v>CRG</v>
      </c>
      <c r="G30" s="123">
        <v>2</v>
      </c>
      <c r="H30" s="124">
        <v>3</v>
      </c>
      <c r="I30" s="124">
        <v>3</v>
      </c>
      <c r="J30" s="124">
        <v>3</v>
      </c>
      <c r="K30" s="130">
        <f>SUM(Table62345[[#This Row],[SARMC 1]:[SARMC 4]])</f>
        <v>11</v>
      </c>
      <c r="L30" s="123">
        <v>0</v>
      </c>
      <c r="M30" s="124">
        <v>0</v>
      </c>
      <c r="N30" s="126">
        <v>0</v>
      </c>
      <c r="O30" s="123">
        <v>9</v>
      </c>
      <c r="P30" s="124">
        <v>0</v>
      </c>
      <c r="Q30" s="126">
        <v>0</v>
      </c>
      <c r="R30" s="123">
        <v>3</v>
      </c>
      <c r="S30" s="124">
        <v>13</v>
      </c>
      <c r="T30" s="126">
        <v>8</v>
      </c>
      <c r="U30" s="123">
        <v>10</v>
      </c>
      <c r="V30" s="124">
        <v>12</v>
      </c>
      <c r="W30" s="124">
        <v>12</v>
      </c>
      <c r="X30" s="126">
        <v>15</v>
      </c>
      <c r="Y30" s="123">
        <f>LARGE((Table62345[[#This Row],[K1]:[Z4]]),1)</f>
        <v>15</v>
      </c>
      <c r="Z30" s="124">
        <f>LARGE((Table62345[[#This Row],[K1]:[Z4]]),2)</f>
        <v>13</v>
      </c>
      <c r="AA30" s="124">
        <f>LARGE((Table62345[[#This Row],[K1]:[Z4]]),3)</f>
        <v>12</v>
      </c>
      <c r="AB30" s="124">
        <f>LARGE((Table62345[[#This Row],[K1]:[Z4]]),4)</f>
        <v>12</v>
      </c>
      <c r="AC30" s="124">
        <f>LARGE((Table62345[[#This Row],[K1]:[Z4]]),5)</f>
        <v>10</v>
      </c>
      <c r="AD30" s="124">
        <f>LARGE((Table62345[[#This Row],[K1]:[Z4]]),6)</f>
        <v>9</v>
      </c>
      <c r="AE30" s="124">
        <f>LARGE((Table62345[[#This Row],[K1]:[Z4]]),7)</f>
        <v>8</v>
      </c>
      <c r="AF30" s="124">
        <f>LARGE((Table62345[[#This Row],[K1]:[Z4]]),8)</f>
        <v>3</v>
      </c>
      <c r="AG30" s="124">
        <f>LARGE((Table62345[[#This Row],[K1]:[Z4]]),9)</f>
        <v>0</v>
      </c>
      <c r="AH30" s="126">
        <f>LARGE((Table62345[[#This Row],[K1]:[Z4]]),10)</f>
        <v>0</v>
      </c>
      <c r="AI30" s="129">
        <f>SUM(Y30:AH30)</f>
        <v>82</v>
      </c>
      <c r="AJ30" s="123">
        <f>K30+AI30</f>
        <v>93</v>
      </c>
      <c r="AK30" s="11"/>
    </row>
    <row r="31" spans="1:37" ht="14.4" x14ac:dyDescent="0.3">
      <c r="A31" s="59">
        <v>28</v>
      </c>
      <c r="B31" s="51">
        <v>305</v>
      </c>
      <c r="C31" t="s">
        <v>447</v>
      </c>
      <c r="D31" s="52">
        <v>36142</v>
      </c>
      <c r="E31" s="51" t="s">
        <v>36</v>
      </c>
      <c r="F31" s="30" t="s">
        <v>448</v>
      </c>
      <c r="G31" s="123">
        <v>0</v>
      </c>
      <c r="H31" s="124">
        <v>3</v>
      </c>
      <c r="I31" s="124">
        <v>3</v>
      </c>
      <c r="J31" s="124">
        <v>0</v>
      </c>
      <c r="K31" s="130">
        <f>SUM(Table62345[[#This Row],[SARMC 1]:[SARMC 4]])</f>
        <v>6</v>
      </c>
      <c r="L31" s="123">
        <v>0</v>
      </c>
      <c r="M31" s="124">
        <v>0</v>
      </c>
      <c r="N31" s="126">
        <v>0</v>
      </c>
      <c r="O31" s="123">
        <v>11</v>
      </c>
      <c r="P31" s="124">
        <v>0</v>
      </c>
      <c r="Q31" s="126">
        <v>0</v>
      </c>
      <c r="R31" s="123">
        <v>10</v>
      </c>
      <c r="S31" s="124">
        <v>12</v>
      </c>
      <c r="T31" s="126">
        <v>14</v>
      </c>
      <c r="U31" s="123">
        <v>0</v>
      </c>
      <c r="V31" s="124">
        <v>6</v>
      </c>
      <c r="W31" s="124">
        <v>9</v>
      </c>
      <c r="X31" s="126">
        <v>11</v>
      </c>
      <c r="Y31" s="123">
        <f>LARGE((Table62345[[#This Row],[K1]:[Z4]]),1)</f>
        <v>14</v>
      </c>
      <c r="Z31" s="124">
        <f>LARGE((Table62345[[#This Row],[K1]:[Z4]]),2)</f>
        <v>12</v>
      </c>
      <c r="AA31" s="124">
        <f>LARGE((Table62345[[#This Row],[K1]:[Z4]]),3)</f>
        <v>11</v>
      </c>
      <c r="AB31" s="124">
        <f>LARGE((Table62345[[#This Row],[K1]:[Z4]]),4)</f>
        <v>11</v>
      </c>
      <c r="AC31" s="124">
        <f>LARGE((Table62345[[#This Row],[K1]:[Z4]]),5)</f>
        <v>10</v>
      </c>
      <c r="AD31" s="124">
        <f>LARGE((Table62345[[#This Row],[K1]:[Z4]]),6)</f>
        <v>9</v>
      </c>
      <c r="AE31" s="124">
        <f>LARGE((Table62345[[#This Row],[K1]:[Z4]]),7)</f>
        <v>6</v>
      </c>
      <c r="AF31" s="124">
        <f>LARGE((Table62345[[#This Row],[K1]:[Z4]]),8)</f>
        <v>0</v>
      </c>
      <c r="AG31" s="124">
        <f>LARGE((Table62345[[#This Row],[K1]:[Z4]]),9)</f>
        <v>0</v>
      </c>
      <c r="AH31" s="126">
        <f>LARGE((Table62345[[#This Row],[K1]:[Z4]]),10)</f>
        <v>0</v>
      </c>
      <c r="AI31" s="129">
        <f>SUM(Y31:AH31)</f>
        <v>73</v>
      </c>
      <c r="AJ31" s="123">
        <f>K31+AI31</f>
        <v>79</v>
      </c>
      <c r="AK31" s="11"/>
    </row>
    <row r="32" spans="1:37" ht="14.4" x14ac:dyDescent="0.3">
      <c r="A32" s="59">
        <v>29</v>
      </c>
      <c r="B32" s="51">
        <v>276</v>
      </c>
      <c r="C32" t="str">
        <f>_xlfn.XLOOKUP(B32,Sheet2!B:B,Sheet2!C:C)</f>
        <v>Jude Stuart</v>
      </c>
      <c r="D32" s="52">
        <f>_xlfn.XLOOKUP(B32,Sheet2!B:B,Sheet2!G:G)</f>
        <v>21518</v>
      </c>
      <c r="E32" s="51" t="str">
        <f>_xlfn.XLOOKUP(B32,Sheet2!B:B,Sheet2!H:H)</f>
        <v>WP</v>
      </c>
      <c r="F32" s="30" t="str">
        <f>_xlfn.XLOOKUP(B32,Sheet2!B:B,Sheet2!D:D)</f>
        <v>CRG</v>
      </c>
      <c r="G32" s="123">
        <v>3</v>
      </c>
      <c r="H32" s="124">
        <v>1</v>
      </c>
      <c r="I32" s="124">
        <v>3</v>
      </c>
      <c r="J32" s="124">
        <v>3</v>
      </c>
      <c r="K32" s="130">
        <f>SUM(Table62345[[#This Row],[SARMC 1]:[SARMC 4]])</f>
        <v>10</v>
      </c>
      <c r="L32" s="123">
        <v>16</v>
      </c>
      <c r="M32" s="124">
        <v>23</v>
      </c>
      <c r="N32" s="126">
        <v>19</v>
      </c>
      <c r="O32" s="123">
        <v>0</v>
      </c>
      <c r="P32" s="124">
        <v>0</v>
      </c>
      <c r="Q32" s="126">
        <v>0</v>
      </c>
      <c r="R32" s="123">
        <v>0</v>
      </c>
      <c r="S32" s="124">
        <v>0</v>
      </c>
      <c r="T32" s="126">
        <v>0</v>
      </c>
      <c r="U32" s="123">
        <v>0</v>
      </c>
      <c r="V32" s="124">
        <v>0</v>
      </c>
      <c r="W32" s="124">
        <v>0</v>
      </c>
      <c r="X32" s="126">
        <v>0</v>
      </c>
      <c r="Y32" s="123">
        <f>LARGE((Table62345[[#This Row],[K1]:[Z4]]),1)</f>
        <v>23</v>
      </c>
      <c r="Z32" s="124">
        <f>LARGE((Table62345[[#This Row],[K1]:[Z4]]),2)</f>
        <v>19</v>
      </c>
      <c r="AA32" s="124">
        <f>LARGE((Table62345[[#This Row],[K1]:[Z4]]),3)</f>
        <v>16</v>
      </c>
      <c r="AB32" s="124">
        <f>LARGE((Table62345[[#This Row],[K1]:[Z4]]),4)</f>
        <v>0</v>
      </c>
      <c r="AC32" s="124">
        <f>LARGE((Table62345[[#This Row],[K1]:[Z4]]),5)</f>
        <v>0</v>
      </c>
      <c r="AD32" s="124">
        <f>LARGE((Table62345[[#This Row],[K1]:[Z4]]),6)</f>
        <v>0</v>
      </c>
      <c r="AE32" s="124">
        <f>LARGE((Table62345[[#This Row],[K1]:[Z4]]),7)</f>
        <v>0</v>
      </c>
      <c r="AF32" s="124">
        <f>LARGE((Table62345[[#This Row],[K1]:[Z4]]),8)</f>
        <v>0</v>
      </c>
      <c r="AG32" s="124">
        <f>LARGE((Table62345[[#This Row],[K1]:[Z4]]),9)</f>
        <v>0</v>
      </c>
      <c r="AH32" s="126">
        <f>LARGE((Table62345[[#This Row],[K1]:[Z4]]),10)</f>
        <v>0</v>
      </c>
      <c r="AI32" s="129">
        <f>SUM(Y32:AH32)</f>
        <v>58</v>
      </c>
      <c r="AJ32" s="123">
        <f>K32+AI32</f>
        <v>68</v>
      </c>
      <c r="AK32" s="11"/>
    </row>
    <row r="33" spans="1:37" ht="14.4" x14ac:dyDescent="0.3">
      <c r="A33" s="59">
        <v>30</v>
      </c>
      <c r="B33" s="51">
        <v>296</v>
      </c>
      <c r="C33" t="str">
        <f>_xlfn.XLOOKUP(B33,Sheet2!B:B,Sheet2!C:C)</f>
        <v>Jonno Wilson</v>
      </c>
      <c r="D33" s="52">
        <f>_xlfn.XLOOKUP(B33,Sheet2!B:B,Sheet2!G:G)</f>
        <v>28788</v>
      </c>
      <c r="E33" s="51" t="str">
        <f>_xlfn.XLOOKUP(B33,Sheet2!B:B,Sheet2!H:H)</f>
        <v>NR</v>
      </c>
      <c r="F33" s="30" t="str">
        <f>_xlfn.XLOOKUP(B33,Sheet2!B:B,Sheet2!D:D)</f>
        <v>FK</v>
      </c>
      <c r="G33" s="123">
        <v>2</v>
      </c>
      <c r="H33" s="124">
        <v>0</v>
      </c>
      <c r="I33" s="124">
        <v>0</v>
      </c>
      <c r="J33" s="124">
        <v>0</v>
      </c>
      <c r="K33" s="130">
        <f>SUM(Table62345[[#This Row],[SARMC 1]:[SARMC 4]])</f>
        <v>2</v>
      </c>
      <c r="L33" s="123">
        <v>20</v>
      </c>
      <c r="M33" s="124">
        <v>24</v>
      </c>
      <c r="N33" s="126">
        <v>20</v>
      </c>
      <c r="O33" s="123">
        <v>0</v>
      </c>
      <c r="P33" s="124">
        <v>0</v>
      </c>
      <c r="Q33" s="126">
        <v>0</v>
      </c>
      <c r="R33" s="123">
        <v>0</v>
      </c>
      <c r="S33" s="124">
        <v>0</v>
      </c>
      <c r="T33" s="126">
        <v>0</v>
      </c>
      <c r="U33" s="123">
        <v>0</v>
      </c>
      <c r="V33" s="124">
        <v>0</v>
      </c>
      <c r="W33" s="124">
        <v>0</v>
      </c>
      <c r="X33" s="126">
        <v>0</v>
      </c>
      <c r="Y33" s="123">
        <f>LARGE((Table62345[[#This Row],[K1]:[Z4]]),1)</f>
        <v>24</v>
      </c>
      <c r="Z33" s="124">
        <f>LARGE((Table62345[[#This Row],[K1]:[Z4]]),2)</f>
        <v>20</v>
      </c>
      <c r="AA33" s="124">
        <f>LARGE((Table62345[[#This Row],[K1]:[Z4]]),3)</f>
        <v>20</v>
      </c>
      <c r="AB33" s="124">
        <f>LARGE((Table62345[[#This Row],[K1]:[Z4]]),4)</f>
        <v>0</v>
      </c>
      <c r="AC33" s="124">
        <f>LARGE((Table62345[[#This Row],[K1]:[Z4]]),5)</f>
        <v>0</v>
      </c>
      <c r="AD33" s="124">
        <f>LARGE((Table62345[[#This Row],[K1]:[Z4]]),6)</f>
        <v>0</v>
      </c>
      <c r="AE33" s="124">
        <f>LARGE((Table62345[[#This Row],[K1]:[Z4]]),7)</f>
        <v>0</v>
      </c>
      <c r="AF33" s="124">
        <f>LARGE((Table62345[[#This Row],[K1]:[Z4]]),8)</f>
        <v>0</v>
      </c>
      <c r="AG33" s="124">
        <f>LARGE((Table62345[[#This Row],[K1]:[Z4]]),9)</f>
        <v>0</v>
      </c>
      <c r="AH33" s="126">
        <f>LARGE((Table62345[[#This Row],[K1]:[Z4]]),10)</f>
        <v>0</v>
      </c>
      <c r="AI33" s="129">
        <f>SUM(Y33:AH33)</f>
        <v>64</v>
      </c>
      <c r="AJ33" s="123">
        <f>K33+AI33</f>
        <v>66</v>
      </c>
      <c r="AK33" s="11"/>
    </row>
    <row r="34" spans="1:37" ht="14.4" x14ac:dyDescent="0.3">
      <c r="A34" s="59">
        <v>31</v>
      </c>
      <c r="B34" s="51">
        <v>314</v>
      </c>
      <c r="C34" t="str">
        <f>_xlfn.XLOOKUP(B34,Sheet2!B:B,Sheet2!C:C)</f>
        <v>Reece Ward</v>
      </c>
      <c r="D34" s="52">
        <f>_xlfn.XLOOKUP(B34,Sheet2!B:B,Sheet2!G:G)</f>
        <v>41684</v>
      </c>
      <c r="E34" s="51" t="str">
        <f>_xlfn.XLOOKUP(B34,Sheet2!B:B,Sheet2!H:H)</f>
        <v>WP</v>
      </c>
      <c r="F34" s="30" t="str">
        <f>_xlfn.XLOOKUP(B34,Sheet2!B:B,Sheet2!D:D)</f>
        <v>PRAGA</v>
      </c>
      <c r="G34" s="123">
        <v>3</v>
      </c>
      <c r="H34" s="124">
        <v>3</v>
      </c>
      <c r="I34" s="124">
        <v>3</v>
      </c>
      <c r="J34" s="124">
        <v>3</v>
      </c>
      <c r="K34" s="130">
        <f>SUM(Table62345[[#This Row],[SARMC 1]:[SARMC 4]])</f>
        <v>12</v>
      </c>
      <c r="L34" s="123">
        <v>15</v>
      </c>
      <c r="M34" s="124">
        <v>17</v>
      </c>
      <c r="N34" s="126">
        <v>18</v>
      </c>
      <c r="O34" s="123">
        <v>0</v>
      </c>
      <c r="P34" s="124">
        <v>0</v>
      </c>
      <c r="Q34" s="126">
        <v>0</v>
      </c>
      <c r="R34" s="123">
        <v>0</v>
      </c>
      <c r="S34" s="124">
        <v>0</v>
      </c>
      <c r="T34" s="126">
        <v>0</v>
      </c>
      <c r="U34" s="123">
        <v>0</v>
      </c>
      <c r="V34" s="124">
        <v>0</v>
      </c>
      <c r="W34" s="124">
        <v>0</v>
      </c>
      <c r="X34" s="126">
        <v>0</v>
      </c>
      <c r="Y34" s="123">
        <f>LARGE((Table62345[[#This Row],[K1]:[Z4]]),1)</f>
        <v>18</v>
      </c>
      <c r="Z34" s="124">
        <f>LARGE((Table62345[[#This Row],[K1]:[Z4]]),2)</f>
        <v>17</v>
      </c>
      <c r="AA34" s="124">
        <f>LARGE((Table62345[[#This Row],[K1]:[Z4]]),3)</f>
        <v>15</v>
      </c>
      <c r="AB34" s="124">
        <f>LARGE((Table62345[[#This Row],[K1]:[Z4]]),4)</f>
        <v>0</v>
      </c>
      <c r="AC34" s="124">
        <f>LARGE((Table62345[[#This Row],[K1]:[Z4]]),5)</f>
        <v>0</v>
      </c>
      <c r="AD34" s="124">
        <f>LARGE((Table62345[[#This Row],[K1]:[Z4]]),6)</f>
        <v>0</v>
      </c>
      <c r="AE34" s="124">
        <f>LARGE((Table62345[[#This Row],[K1]:[Z4]]),7)</f>
        <v>0</v>
      </c>
      <c r="AF34" s="124">
        <f>LARGE((Table62345[[#This Row],[K1]:[Z4]]),8)</f>
        <v>0</v>
      </c>
      <c r="AG34" s="124">
        <f>LARGE((Table62345[[#This Row],[K1]:[Z4]]),9)</f>
        <v>0</v>
      </c>
      <c r="AH34" s="126">
        <f>LARGE((Table62345[[#This Row],[K1]:[Z4]]),10)</f>
        <v>0</v>
      </c>
      <c r="AI34" s="129">
        <f>SUM(Y34:AH34)</f>
        <v>50</v>
      </c>
      <c r="AJ34" s="123">
        <f>K34+AI34</f>
        <v>62</v>
      </c>
      <c r="AK34" s="11"/>
    </row>
    <row r="35" spans="1:37" ht="14.4" x14ac:dyDescent="0.3">
      <c r="A35" s="59">
        <v>32</v>
      </c>
      <c r="B35" s="51">
        <v>228</v>
      </c>
      <c r="C35" t="str">
        <f>_xlfn.XLOOKUP(B35,Sheet2!B:B,Sheet2!C:C)</f>
        <v>Tayla Scrimgeour</v>
      </c>
      <c r="D35" s="52">
        <f>_xlfn.XLOOKUP(B35,Sheet2!B:B,Sheet2!G:G)</f>
        <v>39574</v>
      </c>
      <c r="E35" s="51" t="str">
        <f>_xlfn.XLOOKUP(B35,Sheet2!B:B,Sheet2!H:H)</f>
        <v>NR</v>
      </c>
      <c r="F35" s="30" t="str">
        <f>_xlfn.XLOOKUP(B35,Sheet2!B:B,Sheet2!D:D)</f>
        <v>OTK</v>
      </c>
      <c r="G35" s="123">
        <v>3</v>
      </c>
      <c r="H35" s="124">
        <v>0</v>
      </c>
      <c r="I35" s="124">
        <v>0</v>
      </c>
      <c r="J35" s="124">
        <v>0</v>
      </c>
      <c r="K35" s="130">
        <f>SUM(Table62345[[#This Row],[SARMC 1]:[SARMC 4]])</f>
        <v>3</v>
      </c>
      <c r="L35" s="123">
        <v>4</v>
      </c>
      <c r="M35" s="124">
        <v>12</v>
      </c>
      <c r="N35" s="126">
        <v>24</v>
      </c>
      <c r="O35" s="123">
        <v>13</v>
      </c>
      <c r="P35" s="124">
        <v>0</v>
      </c>
      <c r="Q35" s="126">
        <v>0</v>
      </c>
      <c r="R35" s="123">
        <v>0</v>
      </c>
      <c r="S35" s="124">
        <v>0</v>
      </c>
      <c r="T35" s="126">
        <v>0</v>
      </c>
      <c r="U35" s="123">
        <v>0</v>
      </c>
      <c r="V35" s="124">
        <v>0</v>
      </c>
      <c r="W35" s="124">
        <v>0</v>
      </c>
      <c r="X35" s="126">
        <v>0</v>
      </c>
      <c r="Y35" s="123">
        <f>LARGE((Table62345[[#This Row],[K1]:[Z4]]),1)</f>
        <v>24</v>
      </c>
      <c r="Z35" s="124">
        <f>LARGE((Table62345[[#This Row],[K1]:[Z4]]),2)</f>
        <v>13</v>
      </c>
      <c r="AA35" s="124">
        <f>LARGE((Table62345[[#This Row],[K1]:[Z4]]),3)</f>
        <v>12</v>
      </c>
      <c r="AB35" s="124">
        <f>LARGE((Table62345[[#This Row],[K1]:[Z4]]),4)</f>
        <v>4</v>
      </c>
      <c r="AC35" s="124">
        <f>LARGE((Table62345[[#This Row],[K1]:[Z4]]),5)</f>
        <v>0</v>
      </c>
      <c r="AD35" s="124">
        <f>LARGE((Table62345[[#This Row],[K1]:[Z4]]),6)</f>
        <v>0</v>
      </c>
      <c r="AE35" s="124">
        <f>LARGE((Table62345[[#This Row],[K1]:[Z4]]),7)</f>
        <v>0</v>
      </c>
      <c r="AF35" s="124">
        <f>LARGE((Table62345[[#This Row],[K1]:[Z4]]),8)</f>
        <v>0</v>
      </c>
      <c r="AG35" s="124">
        <f>LARGE((Table62345[[#This Row],[K1]:[Z4]]),9)</f>
        <v>0</v>
      </c>
      <c r="AH35" s="126">
        <f>LARGE((Table62345[[#This Row],[K1]:[Z4]]),10)</f>
        <v>0</v>
      </c>
      <c r="AI35" s="129">
        <f>SUM(Y35:AH35)</f>
        <v>53</v>
      </c>
      <c r="AJ35" s="123">
        <f>K35+AI35</f>
        <v>56</v>
      </c>
      <c r="AK35" s="11"/>
    </row>
    <row r="36" spans="1:37" ht="14.4" x14ac:dyDescent="0.3">
      <c r="A36" s="59">
        <v>33</v>
      </c>
      <c r="B36" s="51">
        <v>290</v>
      </c>
      <c r="C36" t="str">
        <f>_xlfn.XLOOKUP(B36,Sheet2!B:B,Sheet2!C:C)</f>
        <v>Onwabile Mcinga</v>
      </c>
      <c r="D36" s="52">
        <f>_xlfn.XLOOKUP(B36,Sheet2!B:B,Sheet2!G:G)</f>
        <v>27227</v>
      </c>
      <c r="E36" s="51" t="str">
        <f>_xlfn.XLOOKUP(B36,Sheet2!B:B,Sheet2!H:H)</f>
        <v>WP</v>
      </c>
      <c r="F36" s="30" t="s">
        <v>448</v>
      </c>
      <c r="G36" s="123">
        <v>3</v>
      </c>
      <c r="H36" s="124">
        <v>3</v>
      </c>
      <c r="I36" s="124">
        <v>3</v>
      </c>
      <c r="J36" s="124">
        <v>3</v>
      </c>
      <c r="K36" s="130">
        <f>SUM(Table62345[[#This Row],[SARMC 1]:[SARMC 4]])</f>
        <v>12</v>
      </c>
      <c r="L36" s="123">
        <v>0</v>
      </c>
      <c r="M36" s="124">
        <v>0</v>
      </c>
      <c r="N36" s="126">
        <v>0</v>
      </c>
      <c r="O36" s="123">
        <v>0</v>
      </c>
      <c r="P36" s="124">
        <v>0</v>
      </c>
      <c r="Q36" s="126">
        <v>0</v>
      </c>
      <c r="R36" s="123">
        <v>0</v>
      </c>
      <c r="S36" s="124">
        <v>0</v>
      </c>
      <c r="T36" s="126">
        <v>0</v>
      </c>
      <c r="U36" s="123">
        <v>16</v>
      </c>
      <c r="V36" s="124">
        <v>8</v>
      </c>
      <c r="W36" s="124">
        <v>4</v>
      </c>
      <c r="X36" s="126">
        <v>12</v>
      </c>
      <c r="Y36" s="123">
        <f>LARGE((Table62345[[#This Row],[K1]:[Z4]]),1)</f>
        <v>16</v>
      </c>
      <c r="Z36" s="124">
        <f>LARGE((Table62345[[#This Row],[K1]:[Z4]]),2)</f>
        <v>12</v>
      </c>
      <c r="AA36" s="124">
        <f>LARGE((Table62345[[#This Row],[K1]:[Z4]]),3)</f>
        <v>8</v>
      </c>
      <c r="AB36" s="124">
        <f>LARGE((Table62345[[#This Row],[K1]:[Z4]]),4)</f>
        <v>4</v>
      </c>
      <c r="AC36" s="124">
        <f>LARGE((Table62345[[#This Row],[K1]:[Z4]]),5)</f>
        <v>0</v>
      </c>
      <c r="AD36" s="124">
        <f>LARGE((Table62345[[#This Row],[K1]:[Z4]]),6)</f>
        <v>0</v>
      </c>
      <c r="AE36" s="124">
        <f>LARGE((Table62345[[#This Row],[K1]:[Z4]]),7)</f>
        <v>0</v>
      </c>
      <c r="AF36" s="124">
        <f>LARGE((Table62345[[#This Row],[K1]:[Z4]]),8)</f>
        <v>0</v>
      </c>
      <c r="AG36" s="124">
        <f>LARGE((Table62345[[#This Row],[K1]:[Z4]]),9)</f>
        <v>0</v>
      </c>
      <c r="AH36" s="126">
        <f>LARGE((Table62345[[#This Row],[K1]:[Z4]]),10)</f>
        <v>0</v>
      </c>
      <c r="AI36" s="129">
        <f>SUM(Y36:AH36)</f>
        <v>40</v>
      </c>
      <c r="AJ36" s="123">
        <f>K36+AI36</f>
        <v>52</v>
      </c>
      <c r="AK36" s="11"/>
    </row>
    <row r="37" spans="1:37" ht="14.4" x14ac:dyDescent="0.3">
      <c r="A37" s="59">
        <v>34</v>
      </c>
      <c r="B37" s="51">
        <v>224</v>
      </c>
      <c r="C37" t="s">
        <v>464</v>
      </c>
      <c r="D37" s="52">
        <v>46684</v>
      </c>
      <c r="E37" s="51" t="s">
        <v>36</v>
      </c>
      <c r="F37" s="30" t="s">
        <v>334</v>
      </c>
      <c r="G37" s="123">
        <v>0</v>
      </c>
      <c r="H37" s="124">
        <v>3</v>
      </c>
      <c r="I37" s="124">
        <v>0</v>
      </c>
      <c r="J37" s="124">
        <v>3</v>
      </c>
      <c r="K37" s="130">
        <f>SUM(Table62345[[#This Row],[SARMC 1]:[SARMC 4]])</f>
        <v>6</v>
      </c>
      <c r="L37" s="123">
        <v>0</v>
      </c>
      <c r="M37" s="124">
        <v>0</v>
      </c>
      <c r="N37" s="126">
        <v>0</v>
      </c>
      <c r="O37" s="123">
        <v>0</v>
      </c>
      <c r="P37" s="124">
        <v>0</v>
      </c>
      <c r="Q37" s="126">
        <v>0</v>
      </c>
      <c r="R37" s="123">
        <v>0</v>
      </c>
      <c r="S37" s="124">
        <v>0</v>
      </c>
      <c r="T37" s="126">
        <v>0</v>
      </c>
      <c r="U37" s="123">
        <v>13</v>
      </c>
      <c r="V37" s="124">
        <v>9</v>
      </c>
      <c r="W37" s="124">
        <v>7</v>
      </c>
      <c r="X37" s="126">
        <v>14</v>
      </c>
      <c r="Y37" s="123">
        <f>LARGE((Table62345[[#This Row],[K1]:[Z4]]),1)</f>
        <v>14</v>
      </c>
      <c r="Z37" s="124">
        <f>LARGE((Table62345[[#This Row],[K1]:[Z4]]),2)</f>
        <v>13</v>
      </c>
      <c r="AA37" s="124">
        <f>LARGE((Table62345[[#This Row],[K1]:[Z4]]),3)</f>
        <v>9</v>
      </c>
      <c r="AB37" s="124">
        <f>LARGE((Table62345[[#This Row],[K1]:[Z4]]),4)</f>
        <v>7</v>
      </c>
      <c r="AC37" s="124">
        <f>LARGE((Table62345[[#This Row],[K1]:[Z4]]),5)</f>
        <v>0</v>
      </c>
      <c r="AD37" s="124">
        <f>LARGE((Table62345[[#This Row],[K1]:[Z4]]),6)</f>
        <v>0</v>
      </c>
      <c r="AE37" s="124">
        <f>LARGE((Table62345[[#This Row],[K1]:[Z4]]),7)</f>
        <v>0</v>
      </c>
      <c r="AF37" s="124">
        <f>LARGE((Table62345[[#This Row],[K1]:[Z4]]),8)</f>
        <v>0</v>
      </c>
      <c r="AG37" s="124">
        <f>LARGE((Table62345[[#This Row],[K1]:[Z4]]),9)</f>
        <v>0</v>
      </c>
      <c r="AH37" s="126">
        <f>LARGE((Table62345[[#This Row],[K1]:[Z4]]),10)</f>
        <v>0</v>
      </c>
      <c r="AI37" s="129">
        <f>SUM(Y37:AH37)</f>
        <v>43</v>
      </c>
      <c r="AJ37" s="123">
        <f>K37+AI37</f>
        <v>49</v>
      </c>
      <c r="AK37" s="11"/>
    </row>
    <row r="38" spans="1:37" ht="14.4" x14ac:dyDescent="0.3">
      <c r="A38" s="59">
        <v>35</v>
      </c>
      <c r="B38" s="51">
        <v>326</v>
      </c>
      <c r="C38" t="s">
        <v>182</v>
      </c>
      <c r="D38" s="52">
        <v>37470</v>
      </c>
      <c r="E38" s="51" t="s">
        <v>36</v>
      </c>
      <c r="F38" s="30" t="s">
        <v>54</v>
      </c>
      <c r="G38" s="123">
        <v>0</v>
      </c>
      <c r="H38" s="124">
        <v>0</v>
      </c>
      <c r="I38" s="124">
        <v>0</v>
      </c>
      <c r="J38" s="124">
        <v>0</v>
      </c>
      <c r="K38" s="130">
        <f>SUM(Table62345[[#This Row],[SARMC 1]:[SARMC 4]])</f>
        <v>0</v>
      </c>
      <c r="L38" s="123">
        <v>0</v>
      </c>
      <c r="M38" s="124">
        <v>0</v>
      </c>
      <c r="N38" s="126">
        <v>0</v>
      </c>
      <c r="O38" s="123">
        <v>0</v>
      </c>
      <c r="P38" s="124">
        <v>0</v>
      </c>
      <c r="Q38" s="126">
        <v>0</v>
      </c>
      <c r="R38" s="123">
        <v>0</v>
      </c>
      <c r="S38" s="124">
        <v>0</v>
      </c>
      <c r="T38" s="126">
        <v>0</v>
      </c>
      <c r="U38" s="123">
        <v>15</v>
      </c>
      <c r="V38" s="124">
        <v>17</v>
      </c>
      <c r="W38" s="124">
        <v>10</v>
      </c>
      <c r="X38" s="126">
        <v>6</v>
      </c>
      <c r="Y38" s="123">
        <f>LARGE((Table62345[[#This Row],[K1]:[Z4]]),1)</f>
        <v>17</v>
      </c>
      <c r="Z38" s="124">
        <f>LARGE((Table62345[[#This Row],[K1]:[Z4]]),2)</f>
        <v>15</v>
      </c>
      <c r="AA38" s="124">
        <f>LARGE((Table62345[[#This Row],[K1]:[Z4]]),3)</f>
        <v>10</v>
      </c>
      <c r="AB38" s="124">
        <f>LARGE((Table62345[[#This Row],[K1]:[Z4]]),4)</f>
        <v>6</v>
      </c>
      <c r="AC38" s="124">
        <f>LARGE((Table62345[[#This Row],[K1]:[Z4]]),5)</f>
        <v>0</v>
      </c>
      <c r="AD38" s="124">
        <f>LARGE((Table62345[[#This Row],[K1]:[Z4]]),6)</f>
        <v>0</v>
      </c>
      <c r="AE38" s="124">
        <f>LARGE((Table62345[[#This Row],[K1]:[Z4]]),7)</f>
        <v>0</v>
      </c>
      <c r="AF38" s="124">
        <f>LARGE((Table62345[[#This Row],[K1]:[Z4]]),8)</f>
        <v>0</v>
      </c>
      <c r="AG38" s="124">
        <f>LARGE((Table62345[[#This Row],[K1]:[Z4]]),9)</f>
        <v>0</v>
      </c>
      <c r="AH38" s="126">
        <f>LARGE((Table62345[[#This Row],[K1]:[Z4]]),10)</f>
        <v>0</v>
      </c>
      <c r="AI38" s="129">
        <f>SUM(Y38:AH38)</f>
        <v>48</v>
      </c>
      <c r="AJ38" s="123">
        <f>K38+AI38</f>
        <v>48</v>
      </c>
      <c r="AK38" s="11"/>
    </row>
    <row r="39" spans="1:37" ht="14.4" x14ac:dyDescent="0.3">
      <c r="A39" s="59">
        <v>36</v>
      </c>
      <c r="B39" s="51">
        <v>213</v>
      </c>
      <c r="C39" t="s">
        <v>497</v>
      </c>
      <c r="D39" s="52">
        <v>47453</v>
      </c>
      <c r="E39" s="51" t="s">
        <v>36</v>
      </c>
      <c r="F39" s="30" t="s">
        <v>53</v>
      </c>
      <c r="G39" s="123">
        <v>0</v>
      </c>
      <c r="H39" s="124">
        <v>0</v>
      </c>
      <c r="I39" s="124">
        <v>0</v>
      </c>
      <c r="J39" s="124">
        <v>3</v>
      </c>
      <c r="K39" s="130">
        <f>SUM(Table62345[[#This Row],[SARMC 1]:[SARMC 4]])</f>
        <v>3</v>
      </c>
      <c r="L39" s="123">
        <v>0</v>
      </c>
      <c r="M39" s="124">
        <v>0</v>
      </c>
      <c r="N39" s="126">
        <v>0</v>
      </c>
      <c r="O39" s="123">
        <v>0</v>
      </c>
      <c r="P39" s="124">
        <v>0</v>
      </c>
      <c r="Q39" s="126">
        <v>0</v>
      </c>
      <c r="R39" s="123">
        <v>0</v>
      </c>
      <c r="S39" s="124">
        <v>0</v>
      </c>
      <c r="T39" s="126">
        <v>0</v>
      </c>
      <c r="U39" s="123">
        <v>12</v>
      </c>
      <c r="V39" s="124">
        <v>4</v>
      </c>
      <c r="W39" s="124">
        <v>6</v>
      </c>
      <c r="X39" s="126">
        <v>13</v>
      </c>
      <c r="Y39" s="123">
        <f>LARGE((Table62345[[#This Row],[K1]:[Z4]]),1)</f>
        <v>13</v>
      </c>
      <c r="Z39" s="124">
        <f>LARGE((Table62345[[#This Row],[K1]:[Z4]]),2)</f>
        <v>12</v>
      </c>
      <c r="AA39" s="124">
        <f>LARGE((Table62345[[#This Row],[K1]:[Z4]]),3)</f>
        <v>6</v>
      </c>
      <c r="AB39" s="124">
        <f>LARGE((Table62345[[#This Row],[K1]:[Z4]]),4)</f>
        <v>4</v>
      </c>
      <c r="AC39" s="124">
        <f>LARGE((Table62345[[#This Row],[K1]:[Z4]]),5)</f>
        <v>0</v>
      </c>
      <c r="AD39" s="124">
        <f>LARGE((Table62345[[#This Row],[K1]:[Z4]]),6)</f>
        <v>0</v>
      </c>
      <c r="AE39" s="124">
        <f>LARGE((Table62345[[#This Row],[K1]:[Z4]]),7)</f>
        <v>0</v>
      </c>
      <c r="AF39" s="124">
        <f>LARGE((Table62345[[#This Row],[K1]:[Z4]]),8)</f>
        <v>0</v>
      </c>
      <c r="AG39" s="124">
        <f>LARGE((Table62345[[#This Row],[K1]:[Z4]]),9)</f>
        <v>0</v>
      </c>
      <c r="AH39" s="126">
        <f>LARGE((Table62345[[#This Row],[K1]:[Z4]]),10)</f>
        <v>0</v>
      </c>
      <c r="AI39" s="129">
        <f>SUM(Y39:AH39)</f>
        <v>35</v>
      </c>
      <c r="AJ39" s="123">
        <f>K39+AI39</f>
        <v>38</v>
      </c>
      <c r="AK39" s="11"/>
    </row>
    <row r="40" spans="1:37" ht="14.4" x14ac:dyDescent="0.3">
      <c r="A40" s="59">
        <v>37</v>
      </c>
      <c r="B40" s="51">
        <v>288</v>
      </c>
      <c r="C40" t="s">
        <v>503</v>
      </c>
      <c r="D40" s="52"/>
      <c r="E40" s="51" t="s">
        <v>36</v>
      </c>
      <c r="F40" s="30" t="str">
        <f>_xlfn.XLOOKUP(B40,Sheet2!B:B,Sheet2!D:D)</f>
        <v>PAROLIN</v>
      </c>
      <c r="G40" s="131">
        <v>0</v>
      </c>
      <c r="H40" s="124">
        <v>0</v>
      </c>
      <c r="I40" s="124">
        <v>0</v>
      </c>
      <c r="J40" s="124">
        <v>0</v>
      </c>
      <c r="K40" s="130">
        <f>SUM(Table62345[[#This Row],[SARMC 1]:[SARMC 4]])</f>
        <v>0</v>
      </c>
      <c r="L40" s="123">
        <v>0</v>
      </c>
      <c r="M40" s="124">
        <v>0</v>
      </c>
      <c r="N40" s="126">
        <v>0</v>
      </c>
      <c r="O40" s="123">
        <v>0</v>
      </c>
      <c r="P40" s="124">
        <v>0</v>
      </c>
      <c r="Q40" s="126">
        <v>0</v>
      </c>
      <c r="R40" s="123">
        <v>0</v>
      </c>
      <c r="S40" s="124">
        <v>0</v>
      </c>
      <c r="T40" s="126">
        <v>0</v>
      </c>
      <c r="U40" s="123">
        <v>11</v>
      </c>
      <c r="V40" s="124">
        <v>7</v>
      </c>
      <c r="W40" s="124">
        <v>8</v>
      </c>
      <c r="X40" s="126">
        <v>8</v>
      </c>
      <c r="Y40" s="123">
        <f>LARGE((Table62345[[#This Row],[K1]:[Z4]]),1)</f>
        <v>11</v>
      </c>
      <c r="Z40" s="124">
        <f>LARGE((Table62345[[#This Row],[K1]:[Z4]]),2)</f>
        <v>8</v>
      </c>
      <c r="AA40" s="124">
        <f>LARGE((Table62345[[#This Row],[K1]:[Z4]]),3)</f>
        <v>8</v>
      </c>
      <c r="AB40" s="124">
        <f>LARGE((Table62345[[#This Row],[K1]:[Z4]]),4)</f>
        <v>7</v>
      </c>
      <c r="AC40" s="124">
        <f>LARGE((Table62345[[#This Row],[K1]:[Z4]]),5)</f>
        <v>0</v>
      </c>
      <c r="AD40" s="124">
        <f>LARGE((Table62345[[#This Row],[K1]:[Z4]]),6)</f>
        <v>0</v>
      </c>
      <c r="AE40" s="124">
        <f>LARGE((Table62345[[#This Row],[K1]:[Z4]]),7)</f>
        <v>0</v>
      </c>
      <c r="AF40" s="124">
        <f>LARGE((Table62345[[#This Row],[K1]:[Z4]]),8)</f>
        <v>0</v>
      </c>
      <c r="AG40" s="124">
        <f>LARGE((Table62345[[#This Row],[K1]:[Z4]]),9)</f>
        <v>0</v>
      </c>
      <c r="AH40" s="126">
        <f>LARGE((Table62345[[#This Row],[K1]:[Z4]]),10)</f>
        <v>0</v>
      </c>
      <c r="AI40" s="129">
        <f>SUM(Y40:AH40)</f>
        <v>34</v>
      </c>
      <c r="AJ40" s="123">
        <f>K40+AI40</f>
        <v>34</v>
      </c>
      <c r="AK40" s="11"/>
    </row>
    <row r="41" spans="1:37" ht="14.4" x14ac:dyDescent="0.3">
      <c r="A41" s="59">
        <v>38</v>
      </c>
      <c r="B41" s="51">
        <v>315</v>
      </c>
      <c r="C41" t="s">
        <v>498</v>
      </c>
      <c r="D41" s="52">
        <v>28526</v>
      </c>
      <c r="E41" s="51" t="s">
        <v>36</v>
      </c>
      <c r="F41" s="30" t="s">
        <v>334</v>
      </c>
      <c r="G41" s="123">
        <v>0</v>
      </c>
      <c r="H41" s="124">
        <v>0</v>
      </c>
      <c r="I41" s="124">
        <v>0</v>
      </c>
      <c r="J41" s="124">
        <v>3</v>
      </c>
      <c r="K41" s="130">
        <f>SUM(Table62345[[#This Row],[SARMC 1]:[SARMC 4]])</f>
        <v>3</v>
      </c>
      <c r="L41" s="123">
        <v>0</v>
      </c>
      <c r="M41" s="124">
        <v>0</v>
      </c>
      <c r="N41" s="126">
        <v>0</v>
      </c>
      <c r="O41" s="123">
        <v>0</v>
      </c>
      <c r="P41" s="124">
        <v>0</v>
      </c>
      <c r="Q41" s="126">
        <v>0</v>
      </c>
      <c r="R41" s="123">
        <v>0</v>
      </c>
      <c r="S41" s="124">
        <v>0</v>
      </c>
      <c r="T41" s="126">
        <v>0</v>
      </c>
      <c r="U41" s="123">
        <v>7</v>
      </c>
      <c r="V41" s="124">
        <v>5</v>
      </c>
      <c r="W41" s="124">
        <v>5</v>
      </c>
      <c r="X41" s="126">
        <v>10</v>
      </c>
      <c r="Y41" s="123">
        <f>LARGE((Table62345[[#This Row],[K1]:[Z4]]),1)</f>
        <v>10</v>
      </c>
      <c r="Z41" s="124">
        <f>LARGE((Table62345[[#This Row],[K1]:[Z4]]),2)</f>
        <v>7</v>
      </c>
      <c r="AA41" s="124">
        <f>LARGE((Table62345[[#This Row],[K1]:[Z4]]),3)</f>
        <v>5</v>
      </c>
      <c r="AB41" s="124">
        <f>LARGE((Table62345[[#This Row],[K1]:[Z4]]),4)</f>
        <v>5</v>
      </c>
      <c r="AC41" s="124">
        <f>LARGE((Table62345[[#This Row],[K1]:[Z4]]),5)</f>
        <v>0</v>
      </c>
      <c r="AD41" s="124">
        <f>LARGE((Table62345[[#This Row],[K1]:[Z4]]),6)</f>
        <v>0</v>
      </c>
      <c r="AE41" s="124">
        <f>LARGE((Table62345[[#This Row],[K1]:[Z4]]),7)</f>
        <v>0</v>
      </c>
      <c r="AF41" s="124">
        <f>LARGE((Table62345[[#This Row],[K1]:[Z4]]),8)</f>
        <v>0</v>
      </c>
      <c r="AG41" s="124">
        <f>LARGE((Table62345[[#This Row],[K1]:[Z4]]),9)</f>
        <v>0</v>
      </c>
      <c r="AH41" s="126">
        <f>LARGE((Table62345[[#This Row],[K1]:[Z4]]),10)</f>
        <v>0</v>
      </c>
      <c r="AI41" s="129">
        <f>SUM(Y41:AH41)</f>
        <v>27</v>
      </c>
      <c r="AJ41" s="123">
        <f>K41+AI41</f>
        <v>30</v>
      </c>
      <c r="AK41" s="11"/>
    </row>
    <row r="42" spans="1:37" ht="14.4" x14ac:dyDescent="0.3">
      <c r="A42" s="59">
        <v>39</v>
      </c>
      <c r="B42" s="51">
        <v>215</v>
      </c>
      <c r="C42" t="s">
        <v>446</v>
      </c>
      <c r="D42" s="52">
        <v>32011</v>
      </c>
      <c r="E42" s="51" t="s">
        <v>47</v>
      </c>
      <c r="F42" s="30" t="s">
        <v>358</v>
      </c>
      <c r="G42" s="123">
        <v>0</v>
      </c>
      <c r="H42" s="124">
        <v>0</v>
      </c>
      <c r="I42" s="124">
        <v>0</v>
      </c>
      <c r="J42" s="124">
        <v>0</v>
      </c>
      <c r="K42" s="130">
        <f>SUM(Table62345[[#This Row],[SARMC 1]:[SARMC 4]])</f>
        <v>0</v>
      </c>
      <c r="L42" s="123">
        <v>0</v>
      </c>
      <c r="M42" s="124">
        <v>0</v>
      </c>
      <c r="N42" s="126">
        <v>0</v>
      </c>
      <c r="O42" s="123">
        <v>20</v>
      </c>
      <c r="P42" s="124">
        <v>0</v>
      </c>
      <c r="Q42" s="126">
        <v>0</v>
      </c>
      <c r="R42" s="123">
        <v>0</v>
      </c>
      <c r="S42" s="124">
        <v>0</v>
      </c>
      <c r="T42" s="126">
        <v>0</v>
      </c>
      <c r="U42" s="123">
        <v>0</v>
      </c>
      <c r="V42" s="124">
        <v>0</v>
      </c>
      <c r="W42" s="124">
        <v>0</v>
      </c>
      <c r="X42" s="126">
        <v>0</v>
      </c>
      <c r="Y42" s="123">
        <f>LARGE((Table62345[[#This Row],[K1]:[Z4]]),1)</f>
        <v>20</v>
      </c>
      <c r="Z42" s="124">
        <f>LARGE((Table62345[[#This Row],[K1]:[Z4]]),2)</f>
        <v>0</v>
      </c>
      <c r="AA42" s="124">
        <f>LARGE((Table62345[[#This Row],[K1]:[Z4]]),3)</f>
        <v>0</v>
      </c>
      <c r="AB42" s="124">
        <f>LARGE((Table62345[[#This Row],[K1]:[Z4]]),4)</f>
        <v>0</v>
      </c>
      <c r="AC42" s="124">
        <f>LARGE((Table62345[[#This Row],[K1]:[Z4]]),5)</f>
        <v>0</v>
      </c>
      <c r="AD42" s="124">
        <f>LARGE((Table62345[[#This Row],[K1]:[Z4]]),6)</f>
        <v>0</v>
      </c>
      <c r="AE42" s="124">
        <f>LARGE((Table62345[[#This Row],[K1]:[Z4]]),7)</f>
        <v>0</v>
      </c>
      <c r="AF42" s="124">
        <f>LARGE((Table62345[[#This Row],[K1]:[Z4]]),8)</f>
        <v>0</v>
      </c>
      <c r="AG42" s="124">
        <f>LARGE((Table62345[[#This Row],[K1]:[Z4]]),9)</f>
        <v>0</v>
      </c>
      <c r="AH42" s="126">
        <f>LARGE((Table62345[[#This Row],[K1]:[Z4]]),10)</f>
        <v>0</v>
      </c>
      <c r="AI42" s="129">
        <f>SUM(Y42:AH42)</f>
        <v>20</v>
      </c>
      <c r="AJ42" s="123">
        <f>K42+AI42</f>
        <v>20</v>
      </c>
      <c r="AK42" s="11"/>
    </row>
    <row r="43" spans="1:37" ht="14.4" x14ac:dyDescent="0.3">
      <c r="A43" s="59">
        <v>40</v>
      </c>
      <c r="B43" s="69">
        <v>277</v>
      </c>
      <c r="C43" t="str">
        <f>_xlfn.XLOOKUP(B43,Sheet2!B:B,Sheet2!C:C)</f>
        <v>Simthandile Tshabalala</v>
      </c>
      <c r="D43" s="52">
        <f>_xlfn.XLOOKUP(B43,Sheet2!B:B,Sheet2!G:G)</f>
        <v>46734</v>
      </c>
      <c r="E43" s="51" t="str">
        <f>_xlfn.XLOOKUP(B43,Sheet2!B:B,Sheet2!H:H)</f>
        <v>NR</v>
      </c>
      <c r="F43" s="30" t="str">
        <f>_xlfn.XLOOKUP(B43,Sheet2!B:B,Sheet2!D:D)</f>
        <v>LNK</v>
      </c>
      <c r="G43" s="123">
        <v>2</v>
      </c>
      <c r="H43" s="124">
        <v>0</v>
      </c>
      <c r="I43" s="124">
        <v>0</v>
      </c>
      <c r="J43" s="124">
        <v>0</v>
      </c>
      <c r="K43" s="130">
        <f>SUM(Table62345[[#This Row],[SARMC 1]:[SARMC 4]])</f>
        <v>2</v>
      </c>
      <c r="L43" s="123">
        <v>0</v>
      </c>
      <c r="M43" s="124">
        <v>0</v>
      </c>
      <c r="N43" s="126">
        <v>0</v>
      </c>
      <c r="O43" s="123">
        <v>10</v>
      </c>
      <c r="P43" s="124">
        <v>0</v>
      </c>
      <c r="Q43" s="126">
        <v>0</v>
      </c>
      <c r="R43" s="123">
        <v>0</v>
      </c>
      <c r="S43" s="124">
        <v>0</v>
      </c>
      <c r="T43" s="126">
        <v>0</v>
      </c>
      <c r="U43" s="123">
        <v>0</v>
      </c>
      <c r="V43" s="124">
        <v>0</v>
      </c>
      <c r="W43" s="124">
        <v>0</v>
      </c>
      <c r="X43" s="126">
        <v>0</v>
      </c>
      <c r="Y43" s="123">
        <f>LARGE((Table62345[[#This Row],[K1]:[Z4]]),1)</f>
        <v>10</v>
      </c>
      <c r="Z43" s="124">
        <f>LARGE((Table62345[[#This Row],[K1]:[Z4]]),2)</f>
        <v>0</v>
      </c>
      <c r="AA43" s="124">
        <f>LARGE((Table62345[[#This Row],[K1]:[Z4]]),3)</f>
        <v>0</v>
      </c>
      <c r="AB43" s="124">
        <f>LARGE((Table62345[[#This Row],[K1]:[Z4]]),4)</f>
        <v>0</v>
      </c>
      <c r="AC43" s="124">
        <f>LARGE((Table62345[[#This Row],[K1]:[Z4]]),5)</f>
        <v>0</v>
      </c>
      <c r="AD43" s="124">
        <f>LARGE((Table62345[[#This Row],[K1]:[Z4]]),6)</f>
        <v>0</v>
      </c>
      <c r="AE43" s="124">
        <f>LARGE((Table62345[[#This Row],[K1]:[Z4]]),7)</f>
        <v>0</v>
      </c>
      <c r="AF43" s="124">
        <f>LARGE((Table62345[[#This Row],[K1]:[Z4]]),8)</f>
        <v>0</v>
      </c>
      <c r="AG43" s="124">
        <f>LARGE((Table62345[[#This Row],[K1]:[Z4]]),9)</f>
        <v>0</v>
      </c>
      <c r="AH43" s="126">
        <f>LARGE((Table62345[[#This Row],[K1]:[Z4]]),10)</f>
        <v>0</v>
      </c>
      <c r="AI43" s="129">
        <f>SUM(Y43:AH43)</f>
        <v>10</v>
      </c>
      <c r="AJ43" s="123">
        <f>K43+AI43</f>
        <v>12</v>
      </c>
      <c r="AK43" s="11"/>
    </row>
    <row r="44" spans="1:37" ht="14.4" x14ac:dyDescent="0.3">
      <c r="A44" s="59">
        <v>41</v>
      </c>
      <c r="B44" s="51">
        <v>244</v>
      </c>
      <c r="C44" t="str">
        <f>_xlfn.XLOOKUP(B44,Sheet2!B:B,Sheet2!C:C)</f>
        <v>Yashsteel Chetty</v>
      </c>
      <c r="D44" s="52">
        <f>_xlfn.XLOOKUP(B44,Sheet2!B:B,Sheet2!G:G)</f>
        <v>45690</v>
      </c>
      <c r="E44" s="51" t="str">
        <f>_xlfn.XLOOKUP(B44,Sheet2!B:B,Sheet2!H:H)</f>
        <v>KZN</v>
      </c>
      <c r="F44" s="30" t="str">
        <f>_xlfn.XLOOKUP(B44,Sheet2!B:B,Sheet2!D:D)</f>
        <v>BIRELART</v>
      </c>
      <c r="G44" s="123">
        <v>3</v>
      </c>
      <c r="H44" s="124">
        <v>3</v>
      </c>
      <c r="I44" s="124">
        <v>3</v>
      </c>
      <c r="J44" s="124">
        <v>3</v>
      </c>
      <c r="K44" s="130">
        <f>SUM(Table62345[[#This Row],[SARMC 1]:[SARMC 4]])</f>
        <v>12</v>
      </c>
      <c r="L44" s="123">
        <v>0</v>
      </c>
      <c r="M44" s="124">
        <v>0</v>
      </c>
      <c r="N44" s="126">
        <v>0</v>
      </c>
      <c r="O44" s="123">
        <v>0</v>
      </c>
      <c r="P44" s="124">
        <v>0</v>
      </c>
      <c r="Q44" s="126">
        <v>0</v>
      </c>
      <c r="R44" s="123">
        <v>0</v>
      </c>
      <c r="S44" s="124">
        <v>0</v>
      </c>
      <c r="T44" s="126">
        <v>0</v>
      </c>
      <c r="U44" s="123">
        <v>0</v>
      </c>
      <c r="V44" s="124">
        <v>0</v>
      </c>
      <c r="W44" s="124">
        <v>0</v>
      </c>
      <c r="X44" s="126">
        <v>0</v>
      </c>
      <c r="Y44" s="123">
        <f>LARGE((Table62345[[#This Row],[K1]:[Z4]]),1)</f>
        <v>0</v>
      </c>
      <c r="Z44" s="124">
        <f>LARGE((Table62345[[#This Row],[K1]:[Z4]]),2)</f>
        <v>0</v>
      </c>
      <c r="AA44" s="124">
        <f>LARGE((Table62345[[#This Row],[K1]:[Z4]]),3)</f>
        <v>0</v>
      </c>
      <c r="AB44" s="124">
        <f>LARGE((Table62345[[#This Row],[K1]:[Z4]]),4)</f>
        <v>0</v>
      </c>
      <c r="AC44" s="124">
        <f>LARGE((Table62345[[#This Row],[K1]:[Z4]]),5)</f>
        <v>0</v>
      </c>
      <c r="AD44" s="124">
        <f>LARGE((Table62345[[#This Row],[K1]:[Z4]]),6)</f>
        <v>0</v>
      </c>
      <c r="AE44" s="124">
        <f>LARGE((Table62345[[#This Row],[K1]:[Z4]]),7)</f>
        <v>0</v>
      </c>
      <c r="AF44" s="124">
        <f>LARGE((Table62345[[#This Row],[K1]:[Z4]]),8)</f>
        <v>0</v>
      </c>
      <c r="AG44" s="124">
        <f>LARGE((Table62345[[#This Row],[K1]:[Z4]]),9)</f>
        <v>0</v>
      </c>
      <c r="AH44" s="126">
        <f>LARGE((Table62345[[#This Row],[K1]:[Z4]]),10)</f>
        <v>0</v>
      </c>
      <c r="AI44" s="129">
        <f>SUM(Y44:AH44)</f>
        <v>0</v>
      </c>
      <c r="AJ44" s="123">
        <f>K44+AI44</f>
        <v>12</v>
      </c>
      <c r="AK44" s="11"/>
    </row>
    <row r="45" spans="1:37" ht="14.4" x14ac:dyDescent="0.3">
      <c r="A45" s="59">
        <v>42</v>
      </c>
      <c r="B45" s="51">
        <v>260</v>
      </c>
      <c r="C45" t="str">
        <f>_xlfn.XLOOKUP(B45,Sheet2!B:B,Sheet2!C:C)</f>
        <v>Tane Farias</v>
      </c>
      <c r="D45" s="52">
        <f>_xlfn.XLOOKUP(B45,Sheet2!B:B,Sheet2!G:G)</f>
        <v>46321</v>
      </c>
      <c r="E45" s="51" t="str">
        <f>_xlfn.XLOOKUP(B45,Sheet2!B:B,Sheet2!H:H)</f>
        <v>KZN</v>
      </c>
      <c r="F45" s="30" t="str">
        <f>_xlfn.XLOOKUP(B45,Sheet2!B:B,Sheet2!D:D)</f>
        <v>CRG</v>
      </c>
      <c r="G45" s="123">
        <v>3</v>
      </c>
      <c r="H45" s="124">
        <v>3</v>
      </c>
      <c r="I45" s="124">
        <v>3</v>
      </c>
      <c r="J45" s="124">
        <v>3</v>
      </c>
      <c r="K45" s="130">
        <f>SUM(Table62345[[#This Row],[SARMC 1]:[SARMC 4]])</f>
        <v>12</v>
      </c>
      <c r="L45" s="123">
        <v>0</v>
      </c>
      <c r="M45" s="124">
        <v>0</v>
      </c>
      <c r="N45" s="126">
        <v>0</v>
      </c>
      <c r="O45" s="123">
        <v>0</v>
      </c>
      <c r="P45" s="124">
        <v>0</v>
      </c>
      <c r="Q45" s="126">
        <v>0</v>
      </c>
      <c r="R45" s="123">
        <v>0</v>
      </c>
      <c r="S45" s="124">
        <v>0</v>
      </c>
      <c r="T45" s="126">
        <v>0</v>
      </c>
      <c r="U45" s="123">
        <v>0</v>
      </c>
      <c r="V45" s="124">
        <v>0</v>
      </c>
      <c r="W45" s="124">
        <v>0</v>
      </c>
      <c r="X45" s="126">
        <v>0</v>
      </c>
      <c r="Y45" s="123">
        <f>LARGE((Table62345[[#This Row],[K1]:[Z4]]),1)</f>
        <v>0</v>
      </c>
      <c r="Z45" s="124">
        <f>LARGE((Table62345[[#This Row],[K1]:[Z4]]),2)</f>
        <v>0</v>
      </c>
      <c r="AA45" s="124">
        <f>LARGE((Table62345[[#This Row],[K1]:[Z4]]),3)</f>
        <v>0</v>
      </c>
      <c r="AB45" s="124">
        <f>LARGE((Table62345[[#This Row],[K1]:[Z4]]),4)</f>
        <v>0</v>
      </c>
      <c r="AC45" s="124">
        <f>LARGE((Table62345[[#This Row],[K1]:[Z4]]),5)</f>
        <v>0</v>
      </c>
      <c r="AD45" s="124">
        <f>LARGE((Table62345[[#This Row],[K1]:[Z4]]),6)</f>
        <v>0</v>
      </c>
      <c r="AE45" s="124">
        <f>LARGE((Table62345[[#This Row],[K1]:[Z4]]),7)</f>
        <v>0</v>
      </c>
      <c r="AF45" s="124">
        <f>LARGE((Table62345[[#This Row],[K1]:[Z4]]),8)</f>
        <v>0</v>
      </c>
      <c r="AG45" s="124">
        <f>LARGE((Table62345[[#This Row],[K1]:[Z4]]),9)</f>
        <v>0</v>
      </c>
      <c r="AH45" s="126">
        <f>LARGE((Table62345[[#This Row],[K1]:[Z4]]),10)</f>
        <v>0</v>
      </c>
      <c r="AI45" s="129">
        <f>SUM(Y45:AH45)</f>
        <v>0</v>
      </c>
      <c r="AJ45" s="123">
        <f>K45+AI45</f>
        <v>12</v>
      </c>
      <c r="AK45" s="11"/>
    </row>
    <row r="46" spans="1:37" ht="14.4" x14ac:dyDescent="0.3">
      <c r="A46" s="59">
        <v>43</v>
      </c>
      <c r="B46" s="51">
        <v>369</v>
      </c>
      <c r="C46" t="str">
        <f>_xlfn.XLOOKUP(B46,Sheet2!B:B,Sheet2!C:C)</f>
        <v>Troy Pieterse</v>
      </c>
      <c r="D46" s="52">
        <f>_xlfn.XLOOKUP(B46,Sheet2!B:B,Sheet2!G:G)</f>
        <v>26972</v>
      </c>
      <c r="E46" s="51" t="str">
        <f>_xlfn.XLOOKUP(B46,Sheet2!B:B,Sheet2!H:H)</f>
        <v>KZN</v>
      </c>
      <c r="F46" s="30" t="str">
        <f>_xlfn.XLOOKUP(B46,Sheet2!B:B,Sheet2!D:D)</f>
        <v>TONY</v>
      </c>
      <c r="G46" s="123">
        <v>3</v>
      </c>
      <c r="H46" s="124">
        <v>3</v>
      </c>
      <c r="I46" s="124">
        <v>3</v>
      </c>
      <c r="J46" s="124">
        <v>3</v>
      </c>
      <c r="K46" s="130">
        <f>SUM(Table62345[[#This Row],[SARMC 1]:[SARMC 4]])</f>
        <v>12</v>
      </c>
      <c r="L46" s="123">
        <v>0</v>
      </c>
      <c r="M46" s="124">
        <v>0</v>
      </c>
      <c r="N46" s="126">
        <v>0</v>
      </c>
      <c r="O46" s="123">
        <v>0</v>
      </c>
      <c r="P46" s="124">
        <v>0</v>
      </c>
      <c r="Q46" s="126">
        <v>0</v>
      </c>
      <c r="R46" s="123">
        <v>0</v>
      </c>
      <c r="S46" s="124">
        <v>0</v>
      </c>
      <c r="T46" s="126">
        <v>0</v>
      </c>
      <c r="U46" s="123">
        <v>0</v>
      </c>
      <c r="V46" s="124">
        <v>0</v>
      </c>
      <c r="W46" s="124">
        <v>0</v>
      </c>
      <c r="X46" s="126">
        <v>0</v>
      </c>
      <c r="Y46" s="123">
        <f>LARGE((Table62345[[#This Row],[K1]:[Z4]]),1)</f>
        <v>0</v>
      </c>
      <c r="Z46" s="124">
        <f>LARGE((Table62345[[#This Row],[K1]:[Z4]]),2)</f>
        <v>0</v>
      </c>
      <c r="AA46" s="124">
        <f>LARGE((Table62345[[#This Row],[K1]:[Z4]]),3)</f>
        <v>0</v>
      </c>
      <c r="AB46" s="124">
        <f>LARGE((Table62345[[#This Row],[K1]:[Z4]]),4)</f>
        <v>0</v>
      </c>
      <c r="AC46" s="124">
        <f>LARGE((Table62345[[#This Row],[K1]:[Z4]]),5)</f>
        <v>0</v>
      </c>
      <c r="AD46" s="124">
        <f>LARGE((Table62345[[#This Row],[K1]:[Z4]]),6)</f>
        <v>0</v>
      </c>
      <c r="AE46" s="124">
        <f>LARGE((Table62345[[#This Row],[K1]:[Z4]]),7)</f>
        <v>0</v>
      </c>
      <c r="AF46" s="124">
        <f>LARGE((Table62345[[#This Row],[K1]:[Z4]]),8)</f>
        <v>0</v>
      </c>
      <c r="AG46" s="124">
        <f>LARGE((Table62345[[#This Row],[K1]:[Z4]]),9)</f>
        <v>0</v>
      </c>
      <c r="AH46" s="126">
        <f>LARGE((Table62345[[#This Row],[K1]:[Z4]]),10)</f>
        <v>0</v>
      </c>
      <c r="AI46" s="129">
        <f>SUM(Y46:AH46)</f>
        <v>0</v>
      </c>
      <c r="AJ46" s="123">
        <f>K46+AI46</f>
        <v>12</v>
      </c>
      <c r="AK46" s="11"/>
    </row>
    <row r="47" spans="1:37" ht="14.4" x14ac:dyDescent="0.3">
      <c r="A47" s="59">
        <v>44</v>
      </c>
      <c r="B47" s="51">
        <v>384</v>
      </c>
      <c r="C47" t="str">
        <f>_xlfn.XLOOKUP(B47,Sheet2!B:B,Sheet2!C:C)</f>
        <v>Charlie Millar</v>
      </c>
      <c r="D47" s="52">
        <f>_xlfn.XLOOKUP(B47,Sheet2!B:B,Sheet2!G:G)</f>
        <v>42551</v>
      </c>
      <c r="E47" s="51" t="str">
        <f>_xlfn.XLOOKUP(B47,Sheet2!B:B,Sheet2!H:H)</f>
        <v>WP</v>
      </c>
      <c r="F47" s="30" t="str">
        <f>_xlfn.XLOOKUP(B47,Sheet2!B:B,Sheet2!D:D)</f>
        <v>PRAGA</v>
      </c>
      <c r="G47" s="123">
        <v>3</v>
      </c>
      <c r="H47" s="124">
        <v>3</v>
      </c>
      <c r="I47" s="124">
        <v>3</v>
      </c>
      <c r="J47" s="124">
        <v>3</v>
      </c>
      <c r="K47" s="130">
        <f>SUM(Table62345[[#This Row],[SARMC 1]:[SARMC 4]])</f>
        <v>12</v>
      </c>
      <c r="L47" s="123">
        <v>0</v>
      </c>
      <c r="M47" s="124">
        <v>0</v>
      </c>
      <c r="N47" s="126">
        <v>0</v>
      </c>
      <c r="O47" s="123">
        <v>0</v>
      </c>
      <c r="P47" s="124">
        <v>0</v>
      </c>
      <c r="Q47" s="126">
        <v>0</v>
      </c>
      <c r="R47" s="123">
        <v>0</v>
      </c>
      <c r="S47" s="124">
        <v>0</v>
      </c>
      <c r="T47" s="126">
        <v>0</v>
      </c>
      <c r="U47" s="123">
        <v>0</v>
      </c>
      <c r="V47" s="124">
        <v>0</v>
      </c>
      <c r="W47" s="124">
        <v>0</v>
      </c>
      <c r="X47" s="126">
        <v>0</v>
      </c>
      <c r="Y47" s="123">
        <f>LARGE((Table62345[[#This Row],[K1]:[Z4]]),1)</f>
        <v>0</v>
      </c>
      <c r="Z47" s="124">
        <f>LARGE((Table62345[[#This Row],[K1]:[Z4]]),2)</f>
        <v>0</v>
      </c>
      <c r="AA47" s="124">
        <f>LARGE((Table62345[[#This Row],[K1]:[Z4]]),3)</f>
        <v>0</v>
      </c>
      <c r="AB47" s="124">
        <f>LARGE((Table62345[[#This Row],[K1]:[Z4]]),4)</f>
        <v>0</v>
      </c>
      <c r="AC47" s="124">
        <f>LARGE((Table62345[[#This Row],[K1]:[Z4]]),5)</f>
        <v>0</v>
      </c>
      <c r="AD47" s="124">
        <f>LARGE((Table62345[[#This Row],[K1]:[Z4]]),6)</f>
        <v>0</v>
      </c>
      <c r="AE47" s="124">
        <f>LARGE((Table62345[[#This Row],[K1]:[Z4]]),7)</f>
        <v>0</v>
      </c>
      <c r="AF47" s="124">
        <f>LARGE((Table62345[[#This Row],[K1]:[Z4]]),8)</f>
        <v>0</v>
      </c>
      <c r="AG47" s="124">
        <f>LARGE((Table62345[[#This Row],[K1]:[Z4]]),9)</f>
        <v>0</v>
      </c>
      <c r="AH47" s="126">
        <f>LARGE((Table62345[[#This Row],[K1]:[Z4]]),10)</f>
        <v>0</v>
      </c>
      <c r="AI47" s="129">
        <f>SUM(Y47:AH47)</f>
        <v>0</v>
      </c>
      <c r="AJ47" s="123">
        <f>K47+AI47</f>
        <v>12</v>
      </c>
      <c r="AK47" s="11"/>
    </row>
    <row r="48" spans="1:37" ht="14.4" x14ac:dyDescent="0.3">
      <c r="A48" s="59">
        <v>45</v>
      </c>
      <c r="B48" s="51">
        <v>279</v>
      </c>
      <c r="C48" t="str">
        <f>_xlfn.XLOOKUP(B48,Sheet2!B:B,Sheet2!C:C)</f>
        <v>Ghaniem Slamet</v>
      </c>
      <c r="D48" s="52">
        <f>_xlfn.XLOOKUP(B48,Sheet2!B:B,Sheet2!G:G)</f>
        <v>0</v>
      </c>
      <c r="E48" s="51" t="str">
        <f>_xlfn.XLOOKUP(B48,Sheet2!B:B,Sheet2!H:H)</f>
        <v>WP</v>
      </c>
      <c r="F48" s="30" t="str">
        <f>_xlfn.XLOOKUP(B48,Sheet2!B:B,Sheet2!D:D)</f>
        <v>LN</v>
      </c>
      <c r="G48" s="123">
        <v>3</v>
      </c>
      <c r="H48" s="124">
        <v>3</v>
      </c>
      <c r="I48" s="124">
        <v>3</v>
      </c>
      <c r="J48" s="124">
        <v>2</v>
      </c>
      <c r="K48" s="130">
        <f>SUM(Table62345[[#This Row],[SARMC 1]:[SARMC 4]])</f>
        <v>11</v>
      </c>
      <c r="L48" s="123">
        <v>0</v>
      </c>
      <c r="M48" s="124">
        <v>0</v>
      </c>
      <c r="N48" s="126">
        <v>0</v>
      </c>
      <c r="O48" s="123">
        <v>0</v>
      </c>
      <c r="P48" s="124">
        <v>0</v>
      </c>
      <c r="Q48" s="126">
        <v>0</v>
      </c>
      <c r="R48" s="123">
        <v>0</v>
      </c>
      <c r="S48" s="124">
        <v>0</v>
      </c>
      <c r="T48" s="126">
        <v>0</v>
      </c>
      <c r="U48" s="123">
        <v>0</v>
      </c>
      <c r="V48" s="124">
        <v>0</v>
      </c>
      <c r="W48" s="124">
        <v>0</v>
      </c>
      <c r="X48" s="126">
        <v>0</v>
      </c>
      <c r="Y48" s="123">
        <f>LARGE((Table62345[[#This Row],[K1]:[Z4]]),1)</f>
        <v>0</v>
      </c>
      <c r="Z48" s="124">
        <f>LARGE((Table62345[[#This Row],[K1]:[Z4]]),2)</f>
        <v>0</v>
      </c>
      <c r="AA48" s="124">
        <f>LARGE((Table62345[[#This Row],[K1]:[Z4]]),3)</f>
        <v>0</v>
      </c>
      <c r="AB48" s="124">
        <f>LARGE((Table62345[[#This Row],[K1]:[Z4]]),4)</f>
        <v>0</v>
      </c>
      <c r="AC48" s="124">
        <f>LARGE((Table62345[[#This Row],[K1]:[Z4]]),5)</f>
        <v>0</v>
      </c>
      <c r="AD48" s="124">
        <f>LARGE((Table62345[[#This Row],[K1]:[Z4]]),6)</f>
        <v>0</v>
      </c>
      <c r="AE48" s="124">
        <f>LARGE((Table62345[[#This Row],[K1]:[Z4]]),7)</f>
        <v>0</v>
      </c>
      <c r="AF48" s="124">
        <f>LARGE((Table62345[[#This Row],[K1]:[Z4]]),8)</f>
        <v>0</v>
      </c>
      <c r="AG48" s="124">
        <f>LARGE((Table62345[[#This Row],[K1]:[Z4]]),9)</f>
        <v>0</v>
      </c>
      <c r="AH48" s="126">
        <f>LARGE((Table62345[[#This Row],[K1]:[Z4]]),10)</f>
        <v>0</v>
      </c>
      <c r="AI48" s="129">
        <f>SUM(Y48:AH48)</f>
        <v>0</v>
      </c>
      <c r="AJ48" s="123">
        <f>K48+AI48</f>
        <v>11</v>
      </c>
      <c r="AK48" s="11"/>
    </row>
    <row r="49" spans="1:37" ht="14.4" x14ac:dyDescent="0.3">
      <c r="A49" s="59">
        <v>46</v>
      </c>
      <c r="B49" s="51">
        <v>263</v>
      </c>
      <c r="C49" t="str">
        <f>_xlfn.XLOOKUP(B49,Sheet2!B:B,Sheet2!C:C)</f>
        <v>Amani Ndlovu</v>
      </c>
      <c r="D49" s="52">
        <f>_xlfn.XLOOKUP(B49,Sheet2!B:B,Sheet2!G:G)</f>
        <v>46455</v>
      </c>
      <c r="E49" s="51" t="str">
        <f>_xlfn.XLOOKUP(B49,Sheet2!B:B,Sheet2!H:H)</f>
        <v>KZN</v>
      </c>
      <c r="F49" s="30" t="str">
        <f>_xlfn.XLOOKUP(B49,Sheet2!B:B,Sheet2!D:D)</f>
        <v>SODI</v>
      </c>
      <c r="G49" s="123">
        <v>3</v>
      </c>
      <c r="H49" s="124">
        <v>0</v>
      </c>
      <c r="I49" s="124">
        <v>3</v>
      </c>
      <c r="J49" s="124">
        <v>3</v>
      </c>
      <c r="K49" s="130">
        <f>SUM(Table62345[[#This Row],[SARMC 1]:[SARMC 4]])</f>
        <v>9</v>
      </c>
      <c r="L49" s="123">
        <v>0</v>
      </c>
      <c r="M49" s="124">
        <v>0</v>
      </c>
      <c r="N49" s="126">
        <v>0</v>
      </c>
      <c r="O49" s="123">
        <v>0</v>
      </c>
      <c r="P49" s="124">
        <v>0</v>
      </c>
      <c r="Q49" s="126">
        <v>0</v>
      </c>
      <c r="R49" s="123">
        <v>0</v>
      </c>
      <c r="S49" s="124">
        <v>0</v>
      </c>
      <c r="T49" s="126">
        <v>0</v>
      </c>
      <c r="U49" s="123">
        <v>0</v>
      </c>
      <c r="V49" s="124">
        <v>0</v>
      </c>
      <c r="W49" s="124">
        <v>0</v>
      </c>
      <c r="X49" s="126">
        <v>0</v>
      </c>
      <c r="Y49" s="123">
        <f>LARGE((Table62345[[#This Row],[K1]:[Z4]]),1)</f>
        <v>0</v>
      </c>
      <c r="Z49" s="124">
        <f>LARGE((Table62345[[#This Row],[K1]:[Z4]]),2)</f>
        <v>0</v>
      </c>
      <c r="AA49" s="124">
        <f>LARGE((Table62345[[#This Row],[K1]:[Z4]]),3)</f>
        <v>0</v>
      </c>
      <c r="AB49" s="124">
        <f>LARGE((Table62345[[#This Row],[K1]:[Z4]]),4)</f>
        <v>0</v>
      </c>
      <c r="AC49" s="124">
        <f>LARGE((Table62345[[#This Row],[K1]:[Z4]]),5)</f>
        <v>0</v>
      </c>
      <c r="AD49" s="124">
        <f>LARGE((Table62345[[#This Row],[K1]:[Z4]]),6)</f>
        <v>0</v>
      </c>
      <c r="AE49" s="124">
        <f>LARGE((Table62345[[#This Row],[K1]:[Z4]]),7)</f>
        <v>0</v>
      </c>
      <c r="AF49" s="124">
        <f>LARGE((Table62345[[#This Row],[K1]:[Z4]]),8)</f>
        <v>0</v>
      </c>
      <c r="AG49" s="124">
        <f>LARGE((Table62345[[#This Row],[K1]:[Z4]]),9)</f>
        <v>0</v>
      </c>
      <c r="AH49" s="126">
        <f>LARGE((Table62345[[#This Row],[K1]:[Z4]]),10)</f>
        <v>0</v>
      </c>
      <c r="AI49" s="129">
        <f>SUM(Y49:AH49)</f>
        <v>0</v>
      </c>
      <c r="AJ49" s="123">
        <f>K49+AI49</f>
        <v>9</v>
      </c>
      <c r="AK49" s="11"/>
    </row>
    <row r="50" spans="1:37" ht="14.4" x14ac:dyDescent="0.3">
      <c r="A50" s="59">
        <v>47</v>
      </c>
      <c r="B50" s="51">
        <v>250</v>
      </c>
      <c r="C50" t="str">
        <f>_xlfn.XLOOKUP(B50,Sheet2!B:B,Sheet2!C:C)</f>
        <v>Anele Nzimande</v>
      </c>
      <c r="D50" s="52">
        <f>_xlfn.XLOOKUP(B50,Sheet2!B:B,Sheet2!G:G)</f>
        <v>42960</v>
      </c>
      <c r="E50" s="51" t="str">
        <f>_xlfn.XLOOKUP(B50,Sheet2!B:B,Sheet2!H:H)</f>
        <v>KZN</v>
      </c>
      <c r="F50" s="30" t="str">
        <f>_xlfn.XLOOKUP(B50,Sheet2!B:B,Sheet2!D:D)</f>
        <v>KR</v>
      </c>
      <c r="G50" s="123">
        <v>3</v>
      </c>
      <c r="H50" s="124">
        <v>3</v>
      </c>
      <c r="I50" s="124">
        <v>0</v>
      </c>
      <c r="J50" s="124">
        <v>0</v>
      </c>
      <c r="K50" s="130">
        <f>SUM(Table62345[[#This Row],[SARMC 1]:[SARMC 4]])</f>
        <v>6</v>
      </c>
      <c r="L50" s="123">
        <v>0</v>
      </c>
      <c r="M50" s="124">
        <v>0</v>
      </c>
      <c r="N50" s="126">
        <v>0</v>
      </c>
      <c r="O50" s="123">
        <v>0</v>
      </c>
      <c r="P50" s="124">
        <v>0</v>
      </c>
      <c r="Q50" s="126">
        <v>0</v>
      </c>
      <c r="R50" s="123">
        <v>0</v>
      </c>
      <c r="S50" s="124">
        <v>0</v>
      </c>
      <c r="T50" s="126">
        <v>0</v>
      </c>
      <c r="U50" s="123">
        <v>0</v>
      </c>
      <c r="V50" s="124">
        <v>0</v>
      </c>
      <c r="W50" s="124">
        <v>0</v>
      </c>
      <c r="X50" s="126">
        <v>0</v>
      </c>
      <c r="Y50" s="123">
        <f>LARGE((Table62345[[#This Row],[K1]:[Z4]]),1)</f>
        <v>0</v>
      </c>
      <c r="Z50" s="124">
        <f>LARGE((Table62345[[#This Row],[K1]:[Z4]]),2)</f>
        <v>0</v>
      </c>
      <c r="AA50" s="124">
        <f>LARGE((Table62345[[#This Row],[K1]:[Z4]]),3)</f>
        <v>0</v>
      </c>
      <c r="AB50" s="124">
        <f>LARGE((Table62345[[#This Row],[K1]:[Z4]]),4)</f>
        <v>0</v>
      </c>
      <c r="AC50" s="124">
        <f>LARGE((Table62345[[#This Row],[K1]:[Z4]]),5)</f>
        <v>0</v>
      </c>
      <c r="AD50" s="124">
        <f>LARGE((Table62345[[#This Row],[K1]:[Z4]]),6)</f>
        <v>0</v>
      </c>
      <c r="AE50" s="124">
        <f>LARGE((Table62345[[#This Row],[K1]:[Z4]]),7)</f>
        <v>0</v>
      </c>
      <c r="AF50" s="124">
        <f>LARGE((Table62345[[#This Row],[K1]:[Z4]]),8)</f>
        <v>0</v>
      </c>
      <c r="AG50" s="124">
        <f>LARGE((Table62345[[#This Row],[K1]:[Z4]]),9)</f>
        <v>0</v>
      </c>
      <c r="AH50" s="126">
        <f>LARGE((Table62345[[#This Row],[K1]:[Z4]]),10)</f>
        <v>0</v>
      </c>
      <c r="AI50" s="129">
        <f>SUM(Y50:AH50)</f>
        <v>0</v>
      </c>
      <c r="AJ50" s="123">
        <f>K50+AI50</f>
        <v>6</v>
      </c>
      <c r="AK50" s="11"/>
    </row>
    <row r="51" spans="1:37" ht="14.4" x14ac:dyDescent="0.3">
      <c r="A51" s="59">
        <v>48</v>
      </c>
      <c r="B51" s="51">
        <v>261</v>
      </c>
      <c r="C51" t="str">
        <f>_xlfn.XLOOKUP(B51,Sheet2!B:B,Sheet2!C:C)</f>
        <v>Roxy Lange</v>
      </c>
      <c r="D51" s="52">
        <f>_xlfn.XLOOKUP(B51,Sheet2!B:B,Sheet2!G:G)</f>
        <v>40923</v>
      </c>
      <c r="E51" s="51" t="str">
        <f>_xlfn.XLOOKUP(B51,Sheet2!B:B,Sheet2!H:H)</f>
        <v>KZN</v>
      </c>
      <c r="F51" s="30" t="str">
        <f>_xlfn.XLOOKUP(B51,Sheet2!B:B,Sheet2!D:D)</f>
        <v>SODI</v>
      </c>
      <c r="G51" s="123">
        <v>0</v>
      </c>
      <c r="H51" s="124">
        <v>3</v>
      </c>
      <c r="I51" s="124">
        <v>0</v>
      </c>
      <c r="J51" s="124">
        <v>3</v>
      </c>
      <c r="K51" s="130">
        <f>SUM(Table62345[[#This Row],[SARMC 1]:[SARMC 4]])</f>
        <v>6</v>
      </c>
      <c r="L51" s="123">
        <v>0</v>
      </c>
      <c r="M51" s="124">
        <v>0</v>
      </c>
      <c r="N51" s="126">
        <v>0</v>
      </c>
      <c r="O51" s="123">
        <v>0</v>
      </c>
      <c r="P51" s="124">
        <v>0</v>
      </c>
      <c r="Q51" s="126">
        <v>0</v>
      </c>
      <c r="R51" s="123">
        <v>0</v>
      </c>
      <c r="S51" s="124">
        <v>0</v>
      </c>
      <c r="T51" s="126">
        <v>0</v>
      </c>
      <c r="U51" s="123">
        <v>0</v>
      </c>
      <c r="V51" s="124">
        <v>0</v>
      </c>
      <c r="W51" s="124">
        <v>0</v>
      </c>
      <c r="X51" s="126">
        <v>0</v>
      </c>
      <c r="Y51" s="123">
        <f>LARGE((Table62345[[#This Row],[K1]:[Z4]]),1)</f>
        <v>0</v>
      </c>
      <c r="Z51" s="124">
        <f>LARGE((Table62345[[#This Row],[K1]:[Z4]]),2)</f>
        <v>0</v>
      </c>
      <c r="AA51" s="124">
        <f>LARGE((Table62345[[#This Row],[K1]:[Z4]]),3)</f>
        <v>0</v>
      </c>
      <c r="AB51" s="124">
        <f>LARGE((Table62345[[#This Row],[K1]:[Z4]]),4)</f>
        <v>0</v>
      </c>
      <c r="AC51" s="124">
        <f>LARGE((Table62345[[#This Row],[K1]:[Z4]]),5)</f>
        <v>0</v>
      </c>
      <c r="AD51" s="124">
        <f>LARGE((Table62345[[#This Row],[K1]:[Z4]]),6)</f>
        <v>0</v>
      </c>
      <c r="AE51" s="124">
        <f>LARGE((Table62345[[#This Row],[K1]:[Z4]]),7)</f>
        <v>0</v>
      </c>
      <c r="AF51" s="124">
        <f>LARGE((Table62345[[#This Row],[K1]:[Z4]]),8)</f>
        <v>0</v>
      </c>
      <c r="AG51" s="124">
        <f>LARGE((Table62345[[#This Row],[K1]:[Z4]]),9)</f>
        <v>0</v>
      </c>
      <c r="AH51" s="126">
        <f>LARGE((Table62345[[#This Row],[K1]:[Z4]]),10)</f>
        <v>0</v>
      </c>
      <c r="AI51" s="129">
        <f>SUM(Y51:AH51)</f>
        <v>0</v>
      </c>
      <c r="AJ51" s="123">
        <f>K51+AI51</f>
        <v>6</v>
      </c>
      <c r="AK51" s="11"/>
    </row>
    <row r="52" spans="1:37" ht="14.4" x14ac:dyDescent="0.3">
      <c r="A52" s="59">
        <v>49</v>
      </c>
      <c r="B52" s="51">
        <v>344</v>
      </c>
      <c r="C52" t="str">
        <f>_xlfn.XLOOKUP(B52,Sheet2!B:B,Sheet2!C:C)</f>
        <v>Enzo Hennings</v>
      </c>
      <c r="D52" s="52">
        <f>_xlfn.XLOOKUP(B52,Sheet2!B:B,Sheet2!G:G)</f>
        <v>46440</v>
      </c>
      <c r="E52" s="51" t="str">
        <f>_xlfn.XLOOKUP(B52,Sheet2!B:B,Sheet2!H:H)</f>
        <v>NR</v>
      </c>
      <c r="F52" s="30" t="str">
        <f>_xlfn.XLOOKUP(B52,Sheet2!B:B,Sheet2!D:D)</f>
        <v>BIRELART</v>
      </c>
      <c r="G52" s="123">
        <v>3</v>
      </c>
      <c r="H52" s="124">
        <v>0</v>
      </c>
      <c r="I52" s="124">
        <v>0</v>
      </c>
      <c r="J52" s="124">
        <v>0</v>
      </c>
      <c r="K52" s="130">
        <f>SUM(Table62345[[#This Row],[SARMC 1]:[SARMC 4]])</f>
        <v>3</v>
      </c>
      <c r="L52" s="123">
        <v>0</v>
      </c>
      <c r="M52" s="124">
        <v>0</v>
      </c>
      <c r="N52" s="126">
        <v>0</v>
      </c>
      <c r="O52" s="123">
        <v>0</v>
      </c>
      <c r="P52" s="124">
        <v>0</v>
      </c>
      <c r="Q52" s="126">
        <v>0</v>
      </c>
      <c r="R52" s="123">
        <v>0</v>
      </c>
      <c r="S52" s="124">
        <v>0</v>
      </c>
      <c r="T52" s="126">
        <v>0</v>
      </c>
      <c r="U52" s="123">
        <v>0</v>
      </c>
      <c r="V52" s="124">
        <v>0</v>
      </c>
      <c r="W52" s="124">
        <v>0</v>
      </c>
      <c r="X52" s="126">
        <v>0</v>
      </c>
      <c r="Y52" s="123">
        <f>LARGE((Table62345[[#This Row],[K1]:[Z4]]),1)</f>
        <v>0</v>
      </c>
      <c r="Z52" s="124">
        <f>LARGE((Table62345[[#This Row],[K1]:[Z4]]),2)</f>
        <v>0</v>
      </c>
      <c r="AA52" s="124">
        <f>LARGE((Table62345[[#This Row],[K1]:[Z4]]),3)</f>
        <v>0</v>
      </c>
      <c r="AB52" s="124">
        <f>LARGE((Table62345[[#This Row],[K1]:[Z4]]),4)</f>
        <v>0</v>
      </c>
      <c r="AC52" s="124">
        <f>LARGE((Table62345[[#This Row],[K1]:[Z4]]),5)</f>
        <v>0</v>
      </c>
      <c r="AD52" s="124">
        <f>LARGE((Table62345[[#This Row],[K1]:[Z4]]),6)</f>
        <v>0</v>
      </c>
      <c r="AE52" s="124">
        <f>LARGE((Table62345[[#This Row],[K1]:[Z4]]),7)</f>
        <v>0</v>
      </c>
      <c r="AF52" s="124">
        <f>LARGE((Table62345[[#This Row],[K1]:[Z4]]),8)</f>
        <v>0</v>
      </c>
      <c r="AG52" s="124">
        <f>LARGE((Table62345[[#This Row],[K1]:[Z4]]),9)</f>
        <v>0</v>
      </c>
      <c r="AH52" s="126">
        <f>LARGE((Table62345[[#This Row],[K1]:[Z4]]),10)</f>
        <v>0</v>
      </c>
      <c r="AI52" s="129">
        <f>SUM(Y52:AH52)</f>
        <v>0</v>
      </c>
      <c r="AJ52" s="123">
        <f>K52+AI52</f>
        <v>3</v>
      </c>
      <c r="AK52" s="11"/>
    </row>
    <row r="53" spans="1:37" ht="14.4" x14ac:dyDescent="0.3">
      <c r="A53" s="59">
        <v>50</v>
      </c>
      <c r="B53" s="51">
        <v>284</v>
      </c>
      <c r="C53" t="str">
        <f>_xlfn.XLOOKUP(B53,Sheet2!B:B,Sheet2!C:C)</f>
        <v>William Marshall</v>
      </c>
      <c r="D53" s="52">
        <f>_xlfn.XLOOKUP(B53,Sheet2!B:B,Sheet2!G:G)</f>
        <v>25223</v>
      </c>
      <c r="E53" s="51" t="str">
        <f>_xlfn.XLOOKUP(B53,Sheet2!B:B,Sheet2!H:H)</f>
        <v>WP</v>
      </c>
      <c r="F53" s="30" t="str">
        <f>_xlfn.XLOOKUP(B53,Sheet2!B:B,Sheet2!D:D)</f>
        <v>LN</v>
      </c>
      <c r="G53" s="123">
        <v>0</v>
      </c>
      <c r="H53" s="124">
        <v>3</v>
      </c>
      <c r="I53" s="124">
        <v>0</v>
      </c>
      <c r="J53" s="124">
        <v>0</v>
      </c>
      <c r="K53" s="130">
        <f>SUM(Table62345[[#This Row],[SARMC 1]:[SARMC 4]])</f>
        <v>3</v>
      </c>
      <c r="L53" s="123">
        <v>0</v>
      </c>
      <c r="M53" s="124">
        <v>0</v>
      </c>
      <c r="N53" s="126">
        <v>0</v>
      </c>
      <c r="O53" s="123">
        <v>0</v>
      </c>
      <c r="P53" s="124">
        <v>0</v>
      </c>
      <c r="Q53" s="126">
        <v>0</v>
      </c>
      <c r="R53" s="123">
        <v>0</v>
      </c>
      <c r="S53" s="124">
        <v>0</v>
      </c>
      <c r="T53" s="126">
        <v>0</v>
      </c>
      <c r="U53" s="123">
        <v>0</v>
      </c>
      <c r="V53" s="124">
        <v>0</v>
      </c>
      <c r="W53" s="124">
        <v>0</v>
      </c>
      <c r="X53" s="126">
        <v>0</v>
      </c>
      <c r="Y53" s="123">
        <f>LARGE((Table62345[[#This Row],[K1]:[Z4]]),1)</f>
        <v>0</v>
      </c>
      <c r="Z53" s="124">
        <f>LARGE((Table62345[[#This Row],[K1]:[Z4]]),2)</f>
        <v>0</v>
      </c>
      <c r="AA53" s="124">
        <f>LARGE((Table62345[[#This Row],[K1]:[Z4]]),3)</f>
        <v>0</v>
      </c>
      <c r="AB53" s="124">
        <f>LARGE((Table62345[[#This Row],[K1]:[Z4]]),4)</f>
        <v>0</v>
      </c>
      <c r="AC53" s="124">
        <f>LARGE((Table62345[[#This Row],[K1]:[Z4]]),5)</f>
        <v>0</v>
      </c>
      <c r="AD53" s="124">
        <f>LARGE((Table62345[[#This Row],[K1]:[Z4]]),6)</f>
        <v>0</v>
      </c>
      <c r="AE53" s="124">
        <f>LARGE((Table62345[[#This Row],[K1]:[Z4]]),7)</f>
        <v>0</v>
      </c>
      <c r="AF53" s="124">
        <f>LARGE((Table62345[[#This Row],[K1]:[Z4]]),8)</f>
        <v>0</v>
      </c>
      <c r="AG53" s="124">
        <f>LARGE((Table62345[[#This Row],[K1]:[Z4]]),9)</f>
        <v>0</v>
      </c>
      <c r="AH53" s="126">
        <f>LARGE((Table62345[[#This Row],[K1]:[Z4]]),10)</f>
        <v>0</v>
      </c>
      <c r="AI53" s="129">
        <f>SUM(Y53:AH53)</f>
        <v>0</v>
      </c>
      <c r="AJ53" s="123">
        <f>K53+AI53</f>
        <v>3</v>
      </c>
      <c r="AK53" s="11"/>
    </row>
    <row r="54" spans="1:37" ht="14.4" x14ac:dyDescent="0.3">
      <c r="A54" s="59">
        <v>51</v>
      </c>
      <c r="B54" s="51">
        <v>264</v>
      </c>
      <c r="C54" t="s">
        <v>463</v>
      </c>
      <c r="D54" s="52">
        <v>37728</v>
      </c>
      <c r="E54" s="51" t="s">
        <v>36</v>
      </c>
      <c r="F54" s="30" t="s">
        <v>54</v>
      </c>
      <c r="G54" s="123">
        <v>0</v>
      </c>
      <c r="H54" s="124">
        <v>3</v>
      </c>
      <c r="I54" s="124">
        <v>0</v>
      </c>
      <c r="J54" s="124">
        <v>0</v>
      </c>
      <c r="K54" s="130">
        <f>SUM(Table62345[[#This Row],[SARMC 1]:[SARMC 4]])</f>
        <v>3</v>
      </c>
      <c r="L54" s="123">
        <v>0</v>
      </c>
      <c r="M54" s="124">
        <v>0</v>
      </c>
      <c r="N54" s="126">
        <v>0</v>
      </c>
      <c r="O54" s="123">
        <v>0</v>
      </c>
      <c r="P54" s="124">
        <v>0</v>
      </c>
      <c r="Q54" s="126">
        <v>0</v>
      </c>
      <c r="R54" s="123">
        <v>0</v>
      </c>
      <c r="S54" s="124">
        <v>0</v>
      </c>
      <c r="T54" s="126">
        <v>0</v>
      </c>
      <c r="U54" s="123">
        <v>0</v>
      </c>
      <c r="V54" s="124">
        <v>0</v>
      </c>
      <c r="W54" s="124">
        <v>0</v>
      </c>
      <c r="X54" s="126">
        <v>0</v>
      </c>
      <c r="Y54" s="123">
        <f>LARGE((Table62345[[#This Row],[K1]:[Z4]]),1)</f>
        <v>0</v>
      </c>
      <c r="Z54" s="124">
        <f>LARGE((Table62345[[#This Row],[K1]:[Z4]]),2)</f>
        <v>0</v>
      </c>
      <c r="AA54" s="124">
        <f>LARGE((Table62345[[#This Row],[K1]:[Z4]]),3)</f>
        <v>0</v>
      </c>
      <c r="AB54" s="124">
        <f>LARGE((Table62345[[#This Row],[K1]:[Z4]]),4)</f>
        <v>0</v>
      </c>
      <c r="AC54" s="124">
        <f>LARGE((Table62345[[#This Row],[K1]:[Z4]]),5)</f>
        <v>0</v>
      </c>
      <c r="AD54" s="124">
        <f>LARGE((Table62345[[#This Row],[K1]:[Z4]]),6)</f>
        <v>0</v>
      </c>
      <c r="AE54" s="124">
        <f>LARGE((Table62345[[#This Row],[K1]:[Z4]]),7)</f>
        <v>0</v>
      </c>
      <c r="AF54" s="124">
        <f>LARGE((Table62345[[#This Row],[K1]:[Z4]]),8)</f>
        <v>0</v>
      </c>
      <c r="AG54" s="124">
        <f>LARGE((Table62345[[#This Row],[K1]:[Z4]]),9)</f>
        <v>0</v>
      </c>
      <c r="AH54" s="126">
        <f>LARGE((Table62345[[#This Row],[K1]:[Z4]]),10)</f>
        <v>0</v>
      </c>
      <c r="AI54" s="129">
        <f>SUM(Y54:AH54)</f>
        <v>0</v>
      </c>
      <c r="AJ54" s="123">
        <f>K54+AI54</f>
        <v>3</v>
      </c>
      <c r="AK54" s="11"/>
    </row>
    <row r="55" spans="1:37" ht="14.4" x14ac:dyDescent="0.3">
      <c r="A55" s="59">
        <v>52</v>
      </c>
      <c r="B55" s="51">
        <v>363</v>
      </c>
      <c r="C55" t="s">
        <v>496</v>
      </c>
      <c r="D55" s="52">
        <v>46683</v>
      </c>
      <c r="E55" s="51" t="s">
        <v>36</v>
      </c>
      <c r="F55" s="30" t="s">
        <v>54</v>
      </c>
      <c r="G55" s="123">
        <v>0</v>
      </c>
      <c r="H55" s="124">
        <v>0</v>
      </c>
      <c r="I55" s="124">
        <v>0</v>
      </c>
      <c r="J55" s="124">
        <v>3</v>
      </c>
      <c r="K55" s="130">
        <f>SUM(Table62345[[#This Row],[SARMC 1]:[SARMC 4]])</f>
        <v>3</v>
      </c>
      <c r="L55" s="123">
        <v>0</v>
      </c>
      <c r="M55" s="124">
        <v>0</v>
      </c>
      <c r="N55" s="126">
        <v>0</v>
      </c>
      <c r="O55" s="123">
        <v>0</v>
      </c>
      <c r="P55" s="124">
        <v>0</v>
      </c>
      <c r="Q55" s="126">
        <v>0</v>
      </c>
      <c r="R55" s="123">
        <v>0</v>
      </c>
      <c r="S55" s="124">
        <v>0</v>
      </c>
      <c r="T55" s="126">
        <v>0</v>
      </c>
      <c r="U55" s="123">
        <v>0</v>
      </c>
      <c r="V55" s="124">
        <v>0</v>
      </c>
      <c r="W55" s="124">
        <v>0</v>
      </c>
      <c r="X55" s="126">
        <v>0</v>
      </c>
      <c r="Y55" s="123">
        <f>LARGE((Table62345[[#This Row],[K1]:[Z4]]),1)</f>
        <v>0</v>
      </c>
      <c r="Z55" s="124">
        <f>LARGE((Table62345[[#This Row],[K1]:[Z4]]),2)</f>
        <v>0</v>
      </c>
      <c r="AA55" s="124">
        <f>LARGE((Table62345[[#This Row],[K1]:[Z4]]),3)</f>
        <v>0</v>
      </c>
      <c r="AB55" s="124">
        <f>LARGE((Table62345[[#This Row],[K1]:[Z4]]),4)</f>
        <v>0</v>
      </c>
      <c r="AC55" s="124">
        <f>LARGE((Table62345[[#This Row],[K1]:[Z4]]),5)</f>
        <v>0</v>
      </c>
      <c r="AD55" s="124">
        <f>LARGE((Table62345[[#This Row],[K1]:[Z4]]),6)</f>
        <v>0</v>
      </c>
      <c r="AE55" s="124">
        <f>LARGE((Table62345[[#This Row],[K1]:[Z4]]),7)</f>
        <v>0</v>
      </c>
      <c r="AF55" s="124">
        <f>LARGE((Table62345[[#This Row],[K1]:[Z4]]),8)</f>
        <v>0</v>
      </c>
      <c r="AG55" s="124">
        <f>LARGE((Table62345[[#This Row],[K1]:[Z4]]),9)</f>
        <v>0</v>
      </c>
      <c r="AH55" s="126">
        <f>LARGE((Table62345[[#This Row],[K1]:[Z4]]),10)</f>
        <v>0</v>
      </c>
      <c r="AI55" s="129">
        <f>SUM(Y55:AH55)</f>
        <v>0</v>
      </c>
      <c r="AJ55" s="123">
        <f>K55+AI55</f>
        <v>3</v>
      </c>
      <c r="AK55" s="11"/>
    </row>
    <row r="56" spans="1:37" ht="14.4" x14ac:dyDescent="0.3">
      <c r="A56" s="59">
        <v>53</v>
      </c>
      <c r="B56" s="51">
        <v>255</v>
      </c>
      <c r="C56" t="s">
        <v>499</v>
      </c>
      <c r="D56" s="52">
        <v>47817</v>
      </c>
      <c r="E56" s="51" t="s">
        <v>36</v>
      </c>
      <c r="F56" s="30" t="s">
        <v>334</v>
      </c>
      <c r="G56" s="123">
        <v>0</v>
      </c>
      <c r="H56" s="124">
        <v>0</v>
      </c>
      <c r="I56" s="124">
        <v>0</v>
      </c>
      <c r="J56" s="124">
        <v>3</v>
      </c>
      <c r="K56" s="130">
        <f>SUM(Table62345[[#This Row],[SARMC 1]:[SARMC 4]])</f>
        <v>3</v>
      </c>
      <c r="L56" s="123">
        <v>0</v>
      </c>
      <c r="M56" s="124">
        <v>0</v>
      </c>
      <c r="N56" s="126">
        <v>0</v>
      </c>
      <c r="O56" s="123">
        <v>0</v>
      </c>
      <c r="P56" s="124">
        <v>0</v>
      </c>
      <c r="Q56" s="126">
        <v>0</v>
      </c>
      <c r="R56" s="123">
        <v>0</v>
      </c>
      <c r="S56" s="124">
        <v>0</v>
      </c>
      <c r="T56" s="126">
        <v>0</v>
      </c>
      <c r="U56" s="123">
        <v>0</v>
      </c>
      <c r="V56" s="124">
        <v>0</v>
      </c>
      <c r="W56" s="124">
        <v>0</v>
      </c>
      <c r="X56" s="126">
        <v>0</v>
      </c>
      <c r="Y56" s="123">
        <f>LARGE((Table62345[[#This Row],[K1]:[Z4]]),1)</f>
        <v>0</v>
      </c>
      <c r="Z56" s="124">
        <f>LARGE((Table62345[[#This Row],[K1]:[Z4]]),2)</f>
        <v>0</v>
      </c>
      <c r="AA56" s="124">
        <f>LARGE((Table62345[[#This Row],[K1]:[Z4]]),3)</f>
        <v>0</v>
      </c>
      <c r="AB56" s="124">
        <f>LARGE((Table62345[[#This Row],[K1]:[Z4]]),4)</f>
        <v>0</v>
      </c>
      <c r="AC56" s="124">
        <f>LARGE((Table62345[[#This Row],[K1]:[Z4]]),5)</f>
        <v>0</v>
      </c>
      <c r="AD56" s="124">
        <f>LARGE((Table62345[[#This Row],[K1]:[Z4]]),6)</f>
        <v>0</v>
      </c>
      <c r="AE56" s="124">
        <f>LARGE((Table62345[[#This Row],[K1]:[Z4]]),7)</f>
        <v>0</v>
      </c>
      <c r="AF56" s="124">
        <f>LARGE((Table62345[[#This Row],[K1]:[Z4]]),8)</f>
        <v>0</v>
      </c>
      <c r="AG56" s="124">
        <f>LARGE((Table62345[[#This Row],[K1]:[Z4]]),9)</f>
        <v>0</v>
      </c>
      <c r="AH56" s="126">
        <f>LARGE((Table62345[[#This Row],[K1]:[Z4]]),10)</f>
        <v>0</v>
      </c>
      <c r="AI56" s="129">
        <f>SUM(Y56:AH56)</f>
        <v>0</v>
      </c>
      <c r="AJ56" s="123">
        <f>K56+AI56</f>
        <v>3</v>
      </c>
      <c r="AK56" s="11"/>
    </row>
    <row r="57" spans="1:37" ht="14.4" x14ac:dyDescent="0.3">
      <c r="A57" s="59">
        <v>54</v>
      </c>
      <c r="B57" s="51">
        <v>355</v>
      </c>
      <c r="C57" t="s">
        <v>465</v>
      </c>
      <c r="D57" s="52"/>
      <c r="E57" s="51" t="s">
        <v>47</v>
      </c>
      <c r="F57" s="30" t="s">
        <v>330</v>
      </c>
      <c r="G57" s="123">
        <v>0</v>
      </c>
      <c r="H57" s="124">
        <v>2</v>
      </c>
      <c r="I57" s="124">
        <v>0</v>
      </c>
      <c r="J57" s="124">
        <v>0</v>
      </c>
      <c r="K57" s="130">
        <f>SUM(Table62345[[#This Row],[SARMC 1]:[SARMC 4]])</f>
        <v>2</v>
      </c>
      <c r="L57" s="123">
        <v>0</v>
      </c>
      <c r="M57" s="124">
        <v>0</v>
      </c>
      <c r="N57" s="126">
        <v>0</v>
      </c>
      <c r="O57" s="123">
        <v>0</v>
      </c>
      <c r="P57" s="124">
        <v>0</v>
      </c>
      <c r="Q57" s="126">
        <v>0</v>
      </c>
      <c r="R57" s="123">
        <v>0</v>
      </c>
      <c r="S57" s="124">
        <v>0</v>
      </c>
      <c r="T57" s="126">
        <v>0</v>
      </c>
      <c r="U57" s="123">
        <v>0</v>
      </c>
      <c r="V57" s="124">
        <v>0</v>
      </c>
      <c r="W57" s="124">
        <v>0</v>
      </c>
      <c r="X57" s="126">
        <v>0</v>
      </c>
      <c r="Y57" s="123">
        <f>LARGE((Table62345[[#This Row],[K1]:[Z4]]),1)</f>
        <v>0</v>
      </c>
      <c r="Z57" s="124">
        <f>LARGE((Table62345[[#This Row],[K1]:[Z4]]),2)</f>
        <v>0</v>
      </c>
      <c r="AA57" s="124">
        <f>LARGE((Table62345[[#This Row],[K1]:[Z4]]),3)</f>
        <v>0</v>
      </c>
      <c r="AB57" s="124">
        <f>LARGE((Table62345[[#This Row],[K1]:[Z4]]),4)</f>
        <v>0</v>
      </c>
      <c r="AC57" s="124">
        <f>LARGE((Table62345[[#This Row],[K1]:[Z4]]),5)</f>
        <v>0</v>
      </c>
      <c r="AD57" s="124">
        <f>LARGE((Table62345[[#This Row],[K1]:[Z4]]),6)</f>
        <v>0</v>
      </c>
      <c r="AE57" s="124">
        <f>LARGE((Table62345[[#This Row],[K1]:[Z4]]),7)</f>
        <v>0</v>
      </c>
      <c r="AF57" s="124">
        <f>LARGE((Table62345[[#This Row],[K1]:[Z4]]),8)</f>
        <v>0</v>
      </c>
      <c r="AG57" s="124">
        <f>LARGE((Table62345[[#This Row],[K1]:[Z4]]),9)</f>
        <v>0</v>
      </c>
      <c r="AH57" s="126">
        <f>LARGE((Table62345[[#This Row],[K1]:[Z4]]),10)</f>
        <v>0</v>
      </c>
      <c r="AI57" s="129">
        <f>SUM(Y57:AH57)</f>
        <v>0</v>
      </c>
      <c r="AJ57" s="123">
        <f>K57+AI57</f>
        <v>2</v>
      </c>
      <c r="AK57" s="11"/>
    </row>
    <row r="58" spans="1:37" ht="14.4" x14ac:dyDescent="0.3">
      <c r="A58" s="59">
        <v>55</v>
      </c>
      <c r="B58" s="51">
        <v>303</v>
      </c>
      <c r="C58" t="str">
        <f>_xlfn.XLOOKUP(B58,Sheet2!B:B,Sheet2!C:C)</f>
        <v>Codi Phippen</v>
      </c>
      <c r="D58" s="52">
        <v>46490</v>
      </c>
      <c r="E58" s="51" t="str">
        <f>_xlfn.XLOOKUP(B58,Sheet2!B:B,Sheet2!H:H)</f>
        <v>KZN</v>
      </c>
      <c r="F58" s="30" t="str">
        <f>_xlfn.XLOOKUP(B58,Sheet2!B:B,Sheet2!D:D)</f>
        <v>EXPRIT</v>
      </c>
      <c r="G58" s="123">
        <v>0</v>
      </c>
      <c r="H58" s="124">
        <v>0</v>
      </c>
      <c r="I58" s="124">
        <v>0</v>
      </c>
      <c r="J58" s="124">
        <v>0</v>
      </c>
      <c r="K58" s="132">
        <f>SUM(Table62345[[#This Row],[SARMC 1]:[SARMC 4]])</f>
        <v>0</v>
      </c>
      <c r="L58" s="133">
        <v>0</v>
      </c>
      <c r="M58" s="134">
        <v>0</v>
      </c>
      <c r="N58" s="135">
        <v>0</v>
      </c>
      <c r="O58" s="133">
        <v>0</v>
      </c>
      <c r="P58" s="134">
        <v>0</v>
      </c>
      <c r="Q58" s="135">
        <v>0</v>
      </c>
      <c r="R58" s="133">
        <v>0</v>
      </c>
      <c r="S58" s="134">
        <v>0</v>
      </c>
      <c r="T58" s="135">
        <v>0</v>
      </c>
      <c r="U58" s="133">
        <v>0</v>
      </c>
      <c r="V58" s="134">
        <v>0</v>
      </c>
      <c r="W58" s="134">
        <v>0</v>
      </c>
      <c r="X58" s="135">
        <v>0</v>
      </c>
      <c r="Y58" s="123">
        <f>LARGE((Table62345[[#This Row],[K1]:[Z4]]),1)</f>
        <v>0</v>
      </c>
      <c r="Z58" s="124">
        <f>LARGE((Table62345[[#This Row],[K1]:[Z4]]),2)</f>
        <v>0</v>
      </c>
      <c r="AA58" s="124">
        <f>LARGE((Table62345[[#This Row],[K1]:[Z4]]),3)</f>
        <v>0</v>
      </c>
      <c r="AB58" s="124">
        <f>LARGE((Table62345[[#This Row],[K1]:[Z4]]),4)</f>
        <v>0</v>
      </c>
      <c r="AC58" s="124">
        <f>LARGE((Table62345[[#This Row],[K1]:[Z4]]),5)</f>
        <v>0</v>
      </c>
      <c r="AD58" s="124">
        <f>LARGE((Table62345[[#This Row],[K1]:[Z4]]),6)</f>
        <v>0</v>
      </c>
      <c r="AE58" s="124">
        <f>LARGE((Table62345[[#This Row],[K1]:[Z4]]),7)</f>
        <v>0</v>
      </c>
      <c r="AF58" s="124">
        <f>LARGE((Table62345[[#This Row],[K1]:[Z4]]),8)</f>
        <v>0</v>
      </c>
      <c r="AG58" s="124">
        <f>LARGE((Table62345[[#This Row],[K1]:[Z4]]),9)</f>
        <v>0</v>
      </c>
      <c r="AH58" s="126">
        <f>LARGE((Table62345[[#This Row],[K1]:[Z4]]),10)</f>
        <v>0</v>
      </c>
      <c r="AI58" s="129">
        <f>SUM(Y58:AH58)</f>
        <v>0</v>
      </c>
      <c r="AJ58" s="123">
        <f>K58+AI58</f>
        <v>0</v>
      </c>
      <c r="AK58" s="11"/>
    </row>
    <row r="59" spans="1:37" x14ac:dyDescent="0.25">
      <c r="A59" s="22"/>
      <c r="B59" s="22"/>
      <c r="C59" s="24" t="s">
        <v>45</v>
      </c>
      <c r="D59" s="31"/>
      <c r="E59" s="25"/>
      <c r="F59" s="32"/>
      <c r="G59" s="23"/>
      <c r="H59" s="23"/>
      <c r="I59" s="23"/>
      <c r="J59" s="23"/>
      <c r="K59" s="27"/>
      <c r="L59" s="22"/>
      <c r="M59" s="22">
        <f>(COUNTIF(L4:L58,"&gt;0"))</f>
        <v>26</v>
      </c>
      <c r="N59" s="22"/>
      <c r="O59" s="22"/>
      <c r="P59" s="22">
        <f>(COUNTIF(O4:O58,"&gt;0"))</f>
        <v>27</v>
      </c>
      <c r="Q59" s="22"/>
      <c r="R59" s="22"/>
      <c r="S59" s="22">
        <f>(COUNTIF(S4:S58,"&gt;0"))</f>
        <v>27</v>
      </c>
      <c r="T59" s="22"/>
      <c r="U59" s="23"/>
      <c r="V59" s="22">
        <f>(COUNTIF(U4:U58,"&gt;0"))</f>
        <v>29</v>
      </c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6"/>
      <c r="AJ59" s="27"/>
    </row>
    <row r="60" spans="1:37" x14ac:dyDescent="0.25">
      <c r="D60" s="33"/>
    </row>
  </sheetData>
  <sortState xmlns:xlrd2="http://schemas.microsoft.com/office/spreadsheetml/2017/richdata2" ref="B4:AY69">
    <sortCondition descending="1" ref="AY4:AY69"/>
    <sortCondition ref="E4:E69"/>
    <sortCondition descending="1" ref="AB4:AB69"/>
    <sortCondition descending="1" ref="N4:N69"/>
    <sortCondition ref="B4:B69"/>
  </sortState>
  <mergeCells count="8">
    <mergeCell ref="A2:F2"/>
    <mergeCell ref="A1:AJ1"/>
    <mergeCell ref="G2:K2"/>
    <mergeCell ref="L2:N2"/>
    <mergeCell ref="O2:Q2"/>
    <mergeCell ref="R2:T2"/>
    <mergeCell ref="U2:X2"/>
    <mergeCell ref="Y2:AH2"/>
  </mergeCells>
  <conditionalFormatting sqref="B1">
    <cfRule type="duplicateValues" dxfId="44" priority="2"/>
    <cfRule type="duplicateValues" dxfId="43" priority="3"/>
    <cfRule type="duplicateValues" dxfId="42" priority="4"/>
  </conditionalFormatting>
  <conditionalFormatting sqref="B1:B1048576">
    <cfRule type="duplicateValues" dxfId="41" priority="1"/>
  </conditionalFormatting>
  <conditionalFormatting sqref="B2 B22:B1048576 B4:B20">
    <cfRule type="duplicateValues" dxfId="40" priority="5"/>
  </conditionalFormatting>
  <conditionalFormatting sqref="B59:B1048576 B2">
    <cfRule type="duplicateValues" dxfId="39" priority="6"/>
    <cfRule type="duplicateValues" dxfId="38" priority="8"/>
  </conditionalFormatting>
  <pageMargins left="0.23622047244094491" right="0.23622047244094491" top="0.31496062992125984" bottom="0.35433070866141736" header="0.31496062992125984" footer="0.31496062992125984"/>
  <pageSetup paperSize="9" scale="73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K42"/>
  <sheetViews>
    <sheetView tabSelected="1" zoomScaleNormal="100" workbookViewId="0">
      <pane xSplit="6" topLeftCell="G1" activePane="topRight" state="frozen"/>
      <selection pane="topRight" sqref="A1:AJ1"/>
    </sheetView>
  </sheetViews>
  <sheetFormatPr defaultColWidth="3.6640625" defaultRowHeight="13.8" x14ac:dyDescent="0.25"/>
  <cols>
    <col min="1" max="1" width="5" style="12" bestFit="1" customWidth="1"/>
    <col min="2" max="2" width="4.44140625" style="10" bestFit="1" customWidth="1"/>
    <col min="3" max="3" width="27.44140625" style="10" bestFit="1" customWidth="1"/>
    <col min="4" max="4" width="10.6640625" style="34" bestFit="1" customWidth="1"/>
    <col min="5" max="5" width="8.33203125" style="12" bestFit="1" customWidth="1"/>
    <col min="6" max="6" width="12.6640625" style="34" bestFit="1" customWidth="1"/>
    <col min="7" max="10" width="4" style="10" hidden="1" customWidth="1"/>
    <col min="11" max="11" width="4" style="14" hidden="1" customWidth="1"/>
    <col min="12" max="14" width="4" style="12" customWidth="1"/>
    <col min="15" max="34" width="4" style="10" customWidth="1"/>
    <col min="35" max="35" width="7.109375" style="13" bestFit="1" customWidth="1"/>
    <col min="36" max="36" width="6.44140625" style="14" bestFit="1" customWidth="1"/>
    <col min="37" max="37" width="6.5546875" style="10" bestFit="1" customWidth="1"/>
    <col min="38" max="16384" width="3.6640625" style="10"/>
  </cols>
  <sheetData>
    <row r="1" spans="1:37" s="9" customFormat="1" ht="78.75" customHeight="1" thickBot="1" x14ac:dyDescent="0.35">
      <c r="A1" s="100" t="e" vm="1">
        <v>#VALUE!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2"/>
    </row>
    <row r="2" spans="1:37" ht="25.5" customHeight="1" x14ac:dyDescent="0.25">
      <c r="A2" s="103" t="e" vm="7">
        <v>#VALUE!</v>
      </c>
      <c r="B2" s="104"/>
      <c r="C2" s="104"/>
      <c r="D2" s="104"/>
      <c r="E2" s="104"/>
      <c r="F2" s="104"/>
      <c r="G2" s="110" t="s">
        <v>0</v>
      </c>
      <c r="H2" s="111"/>
      <c r="I2" s="111"/>
      <c r="J2" s="111"/>
      <c r="K2" s="112"/>
      <c r="L2" s="105" t="s">
        <v>1</v>
      </c>
      <c r="M2" s="106"/>
      <c r="N2" s="107"/>
      <c r="O2" s="105" t="s">
        <v>55</v>
      </c>
      <c r="P2" s="106"/>
      <c r="Q2" s="107"/>
      <c r="R2" s="105" t="s">
        <v>466</v>
      </c>
      <c r="S2" s="106"/>
      <c r="T2" s="107"/>
      <c r="U2" s="105" t="s">
        <v>3</v>
      </c>
      <c r="V2" s="108"/>
      <c r="W2" s="108"/>
      <c r="X2" s="109"/>
      <c r="Y2" s="105" t="s">
        <v>4</v>
      </c>
      <c r="Z2" s="108"/>
      <c r="AA2" s="108"/>
      <c r="AB2" s="108"/>
      <c r="AC2" s="108"/>
      <c r="AD2" s="108"/>
      <c r="AE2" s="108"/>
      <c r="AF2" s="108"/>
      <c r="AG2" s="108"/>
      <c r="AH2" s="109"/>
      <c r="AI2" s="54" t="s">
        <v>5</v>
      </c>
      <c r="AJ2" s="55" t="s">
        <v>6</v>
      </c>
    </row>
    <row r="3" spans="1:37" ht="68.400000000000006" thickBot="1" x14ac:dyDescent="0.3">
      <c r="A3" s="56" t="s">
        <v>7</v>
      </c>
      <c r="B3" s="35" t="s">
        <v>8</v>
      </c>
      <c r="C3" s="21" t="s">
        <v>9</v>
      </c>
      <c r="D3" s="28" t="s">
        <v>10</v>
      </c>
      <c r="E3" s="36" t="s">
        <v>11</v>
      </c>
      <c r="F3" s="29" t="s">
        <v>12</v>
      </c>
      <c r="G3" s="39" t="s">
        <v>13</v>
      </c>
      <c r="H3" s="40" t="s">
        <v>14</v>
      </c>
      <c r="I3" s="41" t="s">
        <v>15</v>
      </c>
      <c r="J3" s="50" t="s">
        <v>16</v>
      </c>
      <c r="K3" s="57" t="s">
        <v>17</v>
      </c>
      <c r="L3" s="39" t="s">
        <v>18</v>
      </c>
      <c r="M3" s="41" t="s">
        <v>19</v>
      </c>
      <c r="N3" s="42" t="s">
        <v>20</v>
      </c>
      <c r="O3" s="18" t="s">
        <v>438</v>
      </c>
      <c r="P3" s="16" t="s">
        <v>439</v>
      </c>
      <c r="Q3" s="19" t="s">
        <v>440</v>
      </c>
      <c r="R3" s="18" t="s">
        <v>21</v>
      </c>
      <c r="S3" s="16" t="s">
        <v>22</v>
      </c>
      <c r="T3" s="19" t="s">
        <v>23</v>
      </c>
      <c r="U3" s="70" t="s">
        <v>441</v>
      </c>
      <c r="V3" s="71" t="s">
        <v>442</v>
      </c>
      <c r="W3" s="71" t="s">
        <v>443</v>
      </c>
      <c r="X3" s="17" t="s">
        <v>24</v>
      </c>
      <c r="Y3" s="43" t="s">
        <v>25</v>
      </c>
      <c r="Z3" s="35" t="s">
        <v>26</v>
      </c>
      <c r="AA3" s="35" t="s">
        <v>27</v>
      </c>
      <c r="AB3" s="35" t="s">
        <v>28</v>
      </c>
      <c r="AC3" s="35" t="s">
        <v>29</v>
      </c>
      <c r="AD3" s="35" t="s">
        <v>30</v>
      </c>
      <c r="AE3" s="35" t="s">
        <v>31</v>
      </c>
      <c r="AF3" s="35" t="s">
        <v>32</v>
      </c>
      <c r="AG3" s="35" t="s">
        <v>33</v>
      </c>
      <c r="AH3" s="44" t="s">
        <v>34</v>
      </c>
      <c r="AI3" s="20" t="s">
        <v>35</v>
      </c>
      <c r="AJ3" s="58" t="s">
        <v>5</v>
      </c>
    </row>
    <row r="4" spans="1:37" ht="14.4" customHeight="1" x14ac:dyDescent="0.3">
      <c r="A4" s="59">
        <v>1</v>
      </c>
      <c r="B4" s="51">
        <v>74</v>
      </c>
      <c r="C4" t="str">
        <f>_xlfn.XLOOKUP(Table62346[[#This Row],[No.]],Sheet2!$B$33:$B$507,Sheet2!$C$33:$C$507)</f>
        <v>Charl Michael Visser</v>
      </c>
      <c r="D4" s="52">
        <f>_xlfn.XLOOKUP(Table62346[[#This Row],[No.]],Sheet2!$B$33:$B$507,Sheet2!$G$33:$G$507)</f>
        <v>4813</v>
      </c>
      <c r="E4" s="51" t="s">
        <v>36</v>
      </c>
      <c r="F4" s="30" t="s">
        <v>54</v>
      </c>
      <c r="G4" s="37">
        <v>2</v>
      </c>
      <c r="H4" s="51">
        <v>3</v>
      </c>
      <c r="I4" s="51">
        <v>3</v>
      </c>
      <c r="J4" s="51">
        <v>0</v>
      </c>
      <c r="K4" s="48">
        <f>SUM(Table62346[[#This Row],[SARMC 1]:[SARMC 4]])</f>
        <v>8</v>
      </c>
      <c r="L4" s="37">
        <v>35</v>
      </c>
      <c r="M4" s="51">
        <v>35</v>
      </c>
      <c r="N4" s="38">
        <v>35</v>
      </c>
      <c r="O4" s="37">
        <v>35</v>
      </c>
      <c r="P4" s="51">
        <v>35</v>
      </c>
      <c r="Q4" s="38">
        <v>30</v>
      </c>
      <c r="R4" s="37">
        <v>35</v>
      </c>
      <c r="S4" s="51">
        <v>35</v>
      </c>
      <c r="T4" s="38">
        <v>35</v>
      </c>
      <c r="U4" s="37">
        <v>35</v>
      </c>
      <c r="V4" s="51">
        <v>32</v>
      </c>
      <c r="W4" s="51">
        <v>35</v>
      </c>
      <c r="X4" s="38">
        <v>35</v>
      </c>
      <c r="Y4" s="46">
        <f>LARGE((Table62346[[#This Row],[K1]:[Z4]]),1)</f>
        <v>35</v>
      </c>
      <c r="Z4" s="47">
        <f>LARGE((Table62346[[#This Row],[K1]:[Z4]]),2)</f>
        <v>35</v>
      </c>
      <c r="AA4" s="47">
        <f>LARGE((Table62346[[#This Row],[K1]:[Z4]]),3)</f>
        <v>35</v>
      </c>
      <c r="AB4" s="47">
        <f>LARGE((Table62346[[#This Row],[K1]:[Z4]]),4)</f>
        <v>35</v>
      </c>
      <c r="AC4" s="47">
        <f>LARGE((Table62346[[#This Row],[K1]:[Z4]]),5)</f>
        <v>35</v>
      </c>
      <c r="AD4" s="47">
        <f>LARGE((Table62346[[#This Row],[K1]:[Z4]]),6)</f>
        <v>35</v>
      </c>
      <c r="AE4" s="47">
        <f>LARGE((Table62346[[#This Row],[K1]:[Z4]]),7)</f>
        <v>35</v>
      </c>
      <c r="AF4" s="47">
        <f>LARGE((Table62346[[#This Row],[K1]:[Z4]]),8)</f>
        <v>35</v>
      </c>
      <c r="AG4" s="47">
        <f>LARGE((Table62346[[#This Row],[K1]:[Z4]]),9)</f>
        <v>35</v>
      </c>
      <c r="AH4" s="47">
        <f>LARGE((Table62346[[#This Row],[K1]:[Z4]]),10)</f>
        <v>35</v>
      </c>
      <c r="AI4" s="45">
        <f t="shared" ref="AI4:AI40" si="0">SUM(Y4:AH4)</f>
        <v>350</v>
      </c>
      <c r="AJ4" s="37">
        <f t="shared" ref="AJ4:AJ40" si="1">K4+AI4</f>
        <v>358</v>
      </c>
      <c r="AK4" s="11"/>
    </row>
    <row r="5" spans="1:37" ht="14.4" customHeight="1" x14ac:dyDescent="0.3">
      <c r="A5" s="59">
        <v>2</v>
      </c>
      <c r="B5" s="51">
        <v>33</v>
      </c>
      <c r="C5" t="str">
        <f>_xlfn.XLOOKUP(Table62346[[#This Row],[No.]],Sheet2!$B$33:$B$507,Sheet2!$C$33:$C$507)</f>
        <v>Jamie Smith</v>
      </c>
      <c r="D5" s="52">
        <f>_xlfn.XLOOKUP(Table62346[[#This Row],[No.]],Sheet2!$B$33:$B$507,Sheet2!$G$33:$G$507)</f>
        <v>391418</v>
      </c>
      <c r="E5" s="51" t="str">
        <f>_xlfn.XLOOKUP(Table62346[[#This Row],[No.]],Sheet2!$B$33:$B$507,Sheet2!$H$33:$H$507)</f>
        <v>NR</v>
      </c>
      <c r="F5" s="30" t="str">
        <f>_xlfn.XLOOKUP(Table62346[[#This Row],[No.]],Sheet2!$B$33:$B$507,Sheet2!$D$33:$D$507)</f>
        <v>BIRELART</v>
      </c>
      <c r="G5" s="37">
        <v>0</v>
      </c>
      <c r="H5" s="51">
        <v>3</v>
      </c>
      <c r="I5" s="51">
        <v>3</v>
      </c>
      <c r="J5" s="51">
        <v>0</v>
      </c>
      <c r="K5" s="49">
        <f>SUM(Table62346[[#This Row],[SARMC 1]:[SARMC 4]])</f>
        <v>6</v>
      </c>
      <c r="L5" s="37">
        <v>30</v>
      </c>
      <c r="M5" s="51">
        <v>21</v>
      </c>
      <c r="N5" s="38">
        <v>25</v>
      </c>
      <c r="O5" s="37">
        <v>30</v>
      </c>
      <c r="P5" s="51">
        <v>32</v>
      </c>
      <c r="Q5" s="38">
        <v>32</v>
      </c>
      <c r="R5" s="37">
        <v>30</v>
      </c>
      <c r="S5" s="51">
        <v>32</v>
      </c>
      <c r="T5" s="38">
        <v>32</v>
      </c>
      <c r="U5" s="37">
        <v>30</v>
      </c>
      <c r="V5" s="51">
        <v>35</v>
      </c>
      <c r="W5" s="51">
        <v>30</v>
      </c>
      <c r="X5" s="38">
        <v>32</v>
      </c>
      <c r="Y5" s="37">
        <f>LARGE((Table62346[[#This Row],[K1]:[Z4]]),1)</f>
        <v>35</v>
      </c>
      <c r="Z5" s="51">
        <f>LARGE((Table62346[[#This Row],[K1]:[Z4]]),2)</f>
        <v>32</v>
      </c>
      <c r="AA5" s="51">
        <f>LARGE((Table62346[[#This Row],[K1]:[Z4]]),3)</f>
        <v>32</v>
      </c>
      <c r="AB5" s="51">
        <f>LARGE((Table62346[[#This Row],[K1]:[Z4]]),4)</f>
        <v>32</v>
      </c>
      <c r="AC5" s="51">
        <f>LARGE((Table62346[[#This Row],[K1]:[Z4]]),5)</f>
        <v>32</v>
      </c>
      <c r="AD5" s="51">
        <f>LARGE((Table62346[[#This Row],[K1]:[Z4]]),6)</f>
        <v>32</v>
      </c>
      <c r="AE5" s="51">
        <f>LARGE((Table62346[[#This Row],[K1]:[Z4]]),7)</f>
        <v>30</v>
      </c>
      <c r="AF5" s="51">
        <f>LARGE((Table62346[[#This Row],[K1]:[Z4]]),8)</f>
        <v>30</v>
      </c>
      <c r="AG5" s="51">
        <f>LARGE((Table62346[[#This Row],[K1]:[Z4]]),9)</f>
        <v>30</v>
      </c>
      <c r="AH5" s="38">
        <f>LARGE((Table62346[[#This Row],[K1]:[Z4]]),10)</f>
        <v>30</v>
      </c>
      <c r="AI5" s="45">
        <f t="shared" si="0"/>
        <v>315</v>
      </c>
      <c r="AJ5" s="37">
        <f t="shared" si="1"/>
        <v>321</v>
      </c>
      <c r="AK5" s="11"/>
    </row>
    <row r="6" spans="1:37" ht="14.4" customHeight="1" x14ac:dyDescent="0.3">
      <c r="A6" s="59">
        <v>3</v>
      </c>
      <c r="B6" s="51">
        <v>42</v>
      </c>
      <c r="C6" t="str">
        <f>_xlfn.XLOOKUP(Table62346[[#This Row],[No.]],Sheet2!$B$33:$B$507,Sheet2!$C$33:$C$507)</f>
        <v>Ethan Stier</v>
      </c>
      <c r="D6" s="52" t="str">
        <f>_xlfn.XLOOKUP(Table62346[[#This Row],[No.]],Sheet2!$B$33:$B$507,Sheet2!$G$33:$G$507)</f>
        <v>02597</v>
      </c>
      <c r="E6" s="51" t="str">
        <f>_xlfn.XLOOKUP(Table62346[[#This Row],[No.]],Sheet2!$B$33:$B$507,Sheet2!$H$33:$H$507)</f>
        <v>WP</v>
      </c>
      <c r="F6" s="30" t="str">
        <f>_xlfn.XLOOKUP(Table62346[[#This Row],[No.]],Sheet2!$B$33:$B$507,Sheet2!$D$33:$D$507)</f>
        <v>PRAGA</v>
      </c>
      <c r="G6" s="37">
        <v>3</v>
      </c>
      <c r="H6" s="51">
        <v>3</v>
      </c>
      <c r="I6" s="51">
        <v>3</v>
      </c>
      <c r="J6" s="51">
        <v>3</v>
      </c>
      <c r="K6" s="49">
        <f>SUM(Table62346[[#This Row],[SARMC 1]:[SARMC 4]])</f>
        <v>12</v>
      </c>
      <c r="L6" s="37">
        <v>29</v>
      </c>
      <c r="M6" s="51">
        <v>32</v>
      </c>
      <c r="N6" s="38" t="s">
        <v>467</v>
      </c>
      <c r="O6" s="37">
        <v>28</v>
      </c>
      <c r="P6" s="51">
        <v>29</v>
      </c>
      <c r="Q6" s="38">
        <v>29</v>
      </c>
      <c r="R6" s="37">
        <v>26</v>
      </c>
      <c r="S6" s="51">
        <v>27</v>
      </c>
      <c r="T6" s="38">
        <v>28</v>
      </c>
      <c r="U6" s="37">
        <v>32</v>
      </c>
      <c r="V6" s="51">
        <v>29</v>
      </c>
      <c r="W6" s="51">
        <v>25</v>
      </c>
      <c r="X6" s="38">
        <v>30</v>
      </c>
      <c r="Y6" s="37">
        <f>LARGE((Table62346[[#This Row],[K1]:[Z4]]),1)</f>
        <v>32</v>
      </c>
      <c r="Z6" s="51">
        <f>LARGE((Table62346[[#This Row],[K1]:[Z4]]),2)</f>
        <v>32</v>
      </c>
      <c r="AA6" s="51">
        <f>LARGE((Table62346[[#This Row],[K1]:[Z4]]),3)</f>
        <v>30</v>
      </c>
      <c r="AB6" s="51">
        <f>LARGE((Table62346[[#This Row],[K1]:[Z4]]),4)</f>
        <v>29</v>
      </c>
      <c r="AC6" s="51">
        <f>LARGE((Table62346[[#This Row],[K1]:[Z4]]),5)</f>
        <v>29</v>
      </c>
      <c r="AD6" s="51">
        <f>LARGE((Table62346[[#This Row],[K1]:[Z4]]),6)</f>
        <v>29</v>
      </c>
      <c r="AE6" s="51">
        <f>LARGE((Table62346[[#This Row],[K1]:[Z4]]),7)</f>
        <v>29</v>
      </c>
      <c r="AF6" s="51">
        <f>LARGE((Table62346[[#This Row],[K1]:[Z4]]),8)</f>
        <v>28</v>
      </c>
      <c r="AG6" s="51">
        <f>LARGE((Table62346[[#This Row],[K1]:[Z4]]),9)</f>
        <v>28</v>
      </c>
      <c r="AH6" s="38">
        <f>LARGE((Table62346[[#This Row],[K1]:[Z4]]),10)</f>
        <v>27</v>
      </c>
      <c r="AI6" s="45">
        <f t="shared" si="0"/>
        <v>293</v>
      </c>
      <c r="AJ6" s="37">
        <f t="shared" si="1"/>
        <v>305</v>
      </c>
      <c r="AK6" s="11"/>
    </row>
    <row r="7" spans="1:37" ht="14.4" customHeight="1" x14ac:dyDescent="0.3">
      <c r="A7" s="59">
        <v>4</v>
      </c>
      <c r="B7" s="51">
        <v>52</v>
      </c>
      <c r="C7" t="str">
        <f>_xlfn.XLOOKUP(Table62346[[#This Row],[No.]],Sheet2!$B$33:$B$507,Sheet2!$C$33:$C$507)</f>
        <v>Matthew Wadeley</v>
      </c>
      <c r="D7" s="52">
        <f>_xlfn.XLOOKUP(Table62346[[#This Row],[No.]],Sheet2!$B$33:$B$507,Sheet2!$G$33:$G$507)</f>
        <v>27099</v>
      </c>
      <c r="E7" s="51" t="str">
        <f>_xlfn.XLOOKUP(Table62346[[#This Row],[No.]],Sheet2!$B$33:$B$507,Sheet2!$H$33:$H$507)</f>
        <v>WP</v>
      </c>
      <c r="F7" s="30" t="str">
        <f>_xlfn.XLOOKUP(Table62346[[#This Row],[No.]],Sheet2!$B$33:$B$507,Sheet2!$D$33:$D$507)</f>
        <v>CRG</v>
      </c>
      <c r="G7" s="37">
        <v>3</v>
      </c>
      <c r="H7" s="51">
        <v>3</v>
      </c>
      <c r="I7" s="51">
        <v>3</v>
      </c>
      <c r="J7" s="51">
        <v>3</v>
      </c>
      <c r="K7" s="49">
        <f>SUM(Table62346[[#This Row],[SARMC 1]:[SARMC 4]])</f>
        <v>12</v>
      </c>
      <c r="L7" s="37">
        <v>32</v>
      </c>
      <c r="M7" s="51">
        <v>29</v>
      </c>
      <c r="N7" s="38">
        <v>32</v>
      </c>
      <c r="O7" s="37">
        <v>27</v>
      </c>
      <c r="P7" s="51">
        <v>30</v>
      </c>
      <c r="Q7" s="38">
        <v>27</v>
      </c>
      <c r="R7" s="37">
        <v>24</v>
      </c>
      <c r="S7" s="51">
        <v>23</v>
      </c>
      <c r="T7" s="38">
        <v>25</v>
      </c>
      <c r="U7" s="37">
        <v>29</v>
      </c>
      <c r="V7" s="51">
        <v>26</v>
      </c>
      <c r="W7" s="51">
        <v>29</v>
      </c>
      <c r="X7" s="38">
        <v>25</v>
      </c>
      <c r="Y7" s="37">
        <f>LARGE((Table62346[[#This Row],[K1]:[Z4]]),1)</f>
        <v>32</v>
      </c>
      <c r="Z7" s="51">
        <f>LARGE((Table62346[[#This Row],[K1]:[Z4]]),2)</f>
        <v>32</v>
      </c>
      <c r="AA7" s="51">
        <f>LARGE((Table62346[[#This Row],[K1]:[Z4]]),3)</f>
        <v>30</v>
      </c>
      <c r="AB7" s="51">
        <f>LARGE((Table62346[[#This Row],[K1]:[Z4]]),4)</f>
        <v>29</v>
      </c>
      <c r="AC7" s="51">
        <f>LARGE((Table62346[[#This Row],[K1]:[Z4]]),5)</f>
        <v>29</v>
      </c>
      <c r="AD7" s="51">
        <f>LARGE((Table62346[[#This Row],[K1]:[Z4]]),6)</f>
        <v>29</v>
      </c>
      <c r="AE7" s="51">
        <f>LARGE((Table62346[[#This Row],[K1]:[Z4]]),7)</f>
        <v>27</v>
      </c>
      <c r="AF7" s="51">
        <f>LARGE((Table62346[[#This Row],[K1]:[Z4]]),8)</f>
        <v>27</v>
      </c>
      <c r="AG7" s="51">
        <f>LARGE((Table62346[[#This Row],[K1]:[Z4]]),9)</f>
        <v>26</v>
      </c>
      <c r="AH7" s="38">
        <f>LARGE((Table62346[[#This Row],[K1]:[Z4]]),10)</f>
        <v>25</v>
      </c>
      <c r="AI7" s="45">
        <f t="shared" si="0"/>
        <v>286</v>
      </c>
      <c r="AJ7" s="37">
        <f t="shared" si="1"/>
        <v>298</v>
      </c>
      <c r="AK7" s="11"/>
    </row>
    <row r="8" spans="1:37" ht="14.4" customHeight="1" x14ac:dyDescent="0.3">
      <c r="A8" s="59">
        <v>5</v>
      </c>
      <c r="B8" s="51">
        <v>96</v>
      </c>
      <c r="C8" t="s">
        <v>449</v>
      </c>
      <c r="D8" s="52">
        <v>28788</v>
      </c>
      <c r="E8" s="51" t="s">
        <v>36</v>
      </c>
      <c r="F8" s="30" t="s">
        <v>54</v>
      </c>
      <c r="G8" s="37">
        <v>0</v>
      </c>
      <c r="H8" s="51">
        <v>3</v>
      </c>
      <c r="I8" s="51">
        <v>3</v>
      </c>
      <c r="J8" s="51">
        <v>0</v>
      </c>
      <c r="K8" s="49">
        <f>SUM(Table62346[[#This Row],[SARMC 1]:[SARMC 4]])</f>
        <v>6</v>
      </c>
      <c r="L8" s="37">
        <v>0</v>
      </c>
      <c r="M8" s="51">
        <v>0</v>
      </c>
      <c r="N8" s="38">
        <v>0</v>
      </c>
      <c r="O8" s="37">
        <v>32</v>
      </c>
      <c r="P8" s="51">
        <v>24</v>
      </c>
      <c r="Q8" s="38">
        <v>35</v>
      </c>
      <c r="R8" s="37">
        <v>29</v>
      </c>
      <c r="S8" s="51">
        <v>30</v>
      </c>
      <c r="T8" s="38">
        <v>30</v>
      </c>
      <c r="U8" s="37">
        <v>28</v>
      </c>
      <c r="V8" s="51">
        <v>23</v>
      </c>
      <c r="W8" s="51">
        <v>26</v>
      </c>
      <c r="X8" s="38">
        <v>29</v>
      </c>
      <c r="Y8" s="37">
        <f>LARGE((Table62346[[#This Row],[K1]:[Z4]]),1)</f>
        <v>35</v>
      </c>
      <c r="Z8" s="51">
        <f>LARGE((Table62346[[#This Row],[K1]:[Z4]]),2)</f>
        <v>32</v>
      </c>
      <c r="AA8" s="51">
        <f>LARGE((Table62346[[#This Row],[K1]:[Z4]]),3)</f>
        <v>30</v>
      </c>
      <c r="AB8" s="51">
        <f>LARGE((Table62346[[#This Row],[K1]:[Z4]]),4)</f>
        <v>30</v>
      </c>
      <c r="AC8" s="51">
        <f>LARGE((Table62346[[#This Row],[K1]:[Z4]]),5)</f>
        <v>29</v>
      </c>
      <c r="AD8" s="51">
        <f>LARGE((Table62346[[#This Row],[K1]:[Z4]]),6)</f>
        <v>29</v>
      </c>
      <c r="AE8" s="51">
        <f>LARGE((Table62346[[#This Row],[K1]:[Z4]]),7)</f>
        <v>28</v>
      </c>
      <c r="AF8" s="51">
        <f>LARGE((Table62346[[#This Row],[K1]:[Z4]]),8)</f>
        <v>26</v>
      </c>
      <c r="AG8" s="51">
        <f>LARGE((Table62346[[#This Row],[K1]:[Z4]]),9)</f>
        <v>24</v>
      </c>
      <c r="AH8" s="38">
        <f>LARGE((Table62346[[#This Row],[K1]:[Z4]]),10)</f>
        <v>23</v>
      </c>
      <c r="AI8" s="45">
        <f t="shared" si="0"/>
        <v>286</v>
      </c>
      <c r="AJ8" s="37">
        <f t="shared" si="1"/>
        <v>292</v>
      </c>
      <c r="AK8" s="11"/>
    </row>
    <row r="9" spans="1:37" ht="14.4" customHeight="1" x14ac:dyDescent="0.3">
      <c r="A9" s="59">
        <v>6</v>
      </c>
      <c r="B9" s="51">
        <v>60</v>
      </c>
      <c r="C9" t="str">
        <f>_xlfn.XLOOKUP(Table62346[[#This Row],[No.]],Sheet2!$B$33:$B$507,Sheet2!$C$33:$C$507)</f>
        <v>Dusan Radojevic</v>
      </c>
      <c r="D9" s="52">
        <f>_xlfn.XLOOKUP(Table62346[[#This Row],[No.]],Sheet2!$B$33:$B$507,Sheet2!$G$33:$G$507)</f>
        <v>37443</v>
      </c>
      <c r="E9" s="51" t="str">
        <f>_xlfn.XLOOKUP(Table62346[[#This Row],[No.]],Sheet2!$B$33:$B$507,Sheet2!$H$33:$H$507)</f>
        <v>NR</v>
      </c>
      <c r="F9" s="30" t="str">
        <f>_xlfn.XLOOKUP(Table62346[[#This Row],[No.]],Sheet2!$B$33:$B$507,Sheet2!$D$33:$D$507)</f>
        <v>BIRELART</v>
      </c>
      <c r="G9" s="37">
        <v>0</v>
      </c>
      <c r="H9" s="51">
        <v>3</v>
      </c>
      <c r="I9" s="51">
        <v>3</v>
      </c>
      <c r="J9" s="51">
        <v>0</v>
      </c>
      <c r="K9" s="49">
        <f>SUM(Table62346[[#This Row],[SARMC 1]:[SARMC 4]])</f>
        <v>6</v>
      </c>
      <c r="L9" s="37">
        <v>27</v>
      </c>
      <c r="M9" s="51">
        <v>30</v>
      </c>
      <c r="N9" s="38">
        <v>27</v>
      </c>
      <c r="O9" s="37">
        <v>29</v>
      </c>
      <c r="P9" s="51">
        <v>28</v>
      </c>
      <c r="Q9" s="38">
        <v>26</v>
      </c>
      <c r="R9" s="37">
        <v>32</v>
      </c>
      <c r="S9" s="51">
        <v>25</v>
      </c>
      <c r="T9" s="38">
        <v>29</v>
      </c>
      <c r="U9" s="37" t="s">
        <v>467</v>
      </c>
      <c r="V9" s="51">
        <v>27</v>
      </c>
      <c r="W9" s="51">
        <v>28</v>
      </c>
      <c r="X9" s="38">
        <v>26</v>
      </c>
      <c r="Y9" s="37">
        <f>LARGE((Table62346[[#This Row],[K1]:[Z4]]),1)</f>
        <v>32</v>
      </c>
      <c r="Z9" s="51">
        <f>LARGE((Table62346[[#This Row],[K1]:[Z4]]),2)</f>
        <v>30</v>
      </c>
      <c r="AA9" s="51">
        <f>LARGE((Table62346[[#This Row],[K1]:[Z4]]),3)</f>
        <v>29</v>
      </c>
      <c r="AB9" s="51">
        <f>LARGE((Table62346[[#This Row],[K1]:[Z4]]),4)</f>
        <v>29</v>
      </c>
      <c r="AC9" s="51">
        <f>LARGE((Table62346[[#This Row],[K1]:[Z4]]),5)</f>
        <v>28</v>
      </c>
      <c r="AD9" s="51">
        <f>LARGE((Table62346[[#This Row],[K1]:[Z4]]),6)</f>
        <v>28</v>
      </c>
      <c r="AE9" s="51">
        <f>LARGE((Table62346[[#This Row],[K1]:[Z4]]),7)</f>
        <v>27</v>
      </c>
      <c r="AF9" s="51">
        <f>LARGE((Table62346[[#This Row],[K1]:[Z4]]),8)</f>
        <v>27</v>
      </c>
      <c r="AG9" s="51">
        <f>LARGE((Table62346[[#This Row],[K1]:[Z4]]),9)</f>
        <v>27</v>
      </c>
      <c r="AH9" s="38">
        <f>LARGE((Table62346[[#This Row],[K1]:[Z4]]),10)</f>
        <v>26</v>
      </c>
      <c r="AI9" s="45">
        <f t="shared" si="0"/>
        <v>283</v>
      </c>
      <c r="AJ9" s="37">
        <f t="shared" si="1"/>
        <v>289</v>
      </c>
      <c r="AK9" s="11"/>
    </row>
    <row r="10" spans="1:37" ht="14.4" customHeight="1" x14ac:dyDescent="0.3">
      <c r="A10" s="59">
        <v>7</v>
      </c>
      <c r="B10" s="51">
        <v>21</v>
      </c>
      <c r="C10" t="str">
        <f>_xlfn.XLOOKUP(Table62346[[#This Row],[No.]],Sheet2!$B$33:$B$507,Sheet2!$C$33:$C$507)</f>
        <v>Shrien Naidoo</v>
      </c>
      <c r="D10" s="52">
        <f>_xlfn.XLOOKUP(Table62346[[#This Row],[No.]],Sheet2!$B$33:$B$507,Sheet2!$G$33:$G$507)</f>
        <v>44789</v>
      </c>
      <c r="E10" s="51" t="str">
        <f>_xlfn.XLOOKUP(Table62346[[#This Row],[No.]],Sheet2!$B$33:$B$507,Sheet2!$H$33:$H$507)</f>
        <v>KZN</v>
      </c>
      <c r="F10" s="30" t="s">
        <v>330</v>
      </c>
      <c r="G10" s="37">
        <v>3</v>
      </c>
      <c r="H10" s="51">
        <v>3</v>
      </c>
      <c r="I10" s="51">
        <v>0</v>
      </c>
      <c r="J10" s="51">
        <v>3</v>
      </c>
      <c r="K10" s="49">
        <f>SUM(Table62346[[#This Row],[SARMC 1]:[SARMC 4]])</f>
        <v>9</v>
      </c>
      <c r="L10" s="37">
        <v>28</v>
      </c>
      <c r="M10" s="51">
        <v>28</v>
      </c>
      <c r="N10" s="38">
        <v>30</v>
      </c>
      <c r="O10" s="37">
        <v>25</v>
      </c>
      <c r="P10" s="51">
        <v>26</v>
      </c>
      <c r="Q10" s="38">
        <v>28</v>
      </c>
      <c r="R10" s="37">
        <v>28</v>
      </c>
      <c r="S10" s="51">
        <v>29</v>
      </c>
      <c r="T10" s="38">
        <v>23</v>
      </c>
      <c r="U10" s="37">
        <v>21</v>
      </c>
      <c r="V10" s="51">
        <v>28</v>
      </c>
      <c r="W10" s="51">
        <v>27</v>
      </c>
      <c r="X10" s="38">
        <v>27</v>
      </c>
      <c r="Y10" s="37">
        <f>LARGE((Table62346[[#This Row],[K1]:[Z4]]),1)</f>
        <v>30</v>
      </c>
      <c r="Z10" s="51">
        <f>LARGE((Table62346[[#This Row],[K1]:[Z4]]),2)</f>
        <v>29</v>
      </c>
      <c r="AA10" s="51">
        <f>LARGE((Table62346[[#This Row],[K1]:[Z4]]),3)</f>
        <v>28</v>
      </c>
      <c r="AB10" s="51">
        <f>LARGE((Table62346[[#This Row],[K1]:[Z4]]),4)</f>
        <v>28</v>
      </c>
      <c r="AC10" s="51">
        <f>LARGE((Table62346[[#This Row],[K1]:[Z4]]),5)</f>
        <v>28</v>
      </c>
      <c r="AD10" s="51">
        <f>LARGE((Table62346[[#This Row],[K1]:[Z4]]),6)</f>
        <v>28</v>
      </c>
      <c r="AE10" s="51">
        <f>LARGE((Table62346[[#This Row],[K1]:[Z4]]),7)</f>
        <v>28</v>
      </c>
      <c r="AF10" s="51">
        <f>LARGE((Table62346[[#This Row],[K1]:[Z4]]),8)</f>
        <v>27</v>
      </c>
      <c r="AG10" s="51">
        <f>LARGE((Table62346[[#This Row],[K1]:[Z4]]),9)</f>
        <v>27</v>
      </c>
      <c r="AH10" s="38">
        <f>LARGE((Table62346[[#This Row],[K1]:[Z4]]),10)</f>
        <v>26</v>
      </c>
      <c r="AI10" s="45">
        <f t="shared" si="0"/>
        <v>279</v>
      </c>
      <c r="AJ10" s="37">
        <f t="shared" si="1"/>
        <v>288</v>
      </c>
      <c r="AK10" s="11"/>
    </row>
    <row r="11" spans="1:37" ht="14.4" customHeight="1" x14ac:dyDescent="0.3">
      <c r="A11" s="59">
        <v>8</v>
      </c>
      <c r="B11" s="51">
        <v>38</v>
      </c>
      <c r="C11" t="str">
        <f>_xlfn.XLOOKUP(Table62346[[#This Row],[No.]],Sheet2!$B$33:$B$507,Sheet2!$C$33:$C$507)</f>
        <v>Tony Auby</v>
      </c>
      <c r="D11" s="52">
        <f>_xlfn.XLOOKUP(Table62346[[#This Row],[No.]],Sheet2!$B$33:$B$507,Sheet2!$G$33:$G$507)</f>
        <v>43447</v>
      </c>
      <c r="E11" s="51" t="str">
        <f>_xlfn.XLOOKUP(Table62346[[#This Row],[No.]],Sheet2!$B$33:$B$507,Sheet2!$H$33:$H$507)</f>
        <v>WP</v>
      </c>
      <c r="F11" s="30" t="str">
        <f>_xlfn.XLOOKUP(Table62346[[#This Row],[No.]],Sheet2!$B$33:$B$507,Sheet2!$D$33:$D$507)</f>
        <v>BIRELART</v>
      </c>
      <c r="G11" s="37">
        <v>0</v>
      </c>
      <c r="H11" s="51">
        <v>3</v>
      </c>
      <c r="I11" s="51">
        <v>3</v>
      </c>
      <c r="J11" s="51">
        <v>3</v>
      </c>
      <c r="K11" s="49">
        <f>SUM(Table62346[[#This Row],[SARMC 1]:[SARMC 4]])</f>
        <v>9</v>
      </c>
      <c r="L11" s="37">
        <v>26</v>
      </c>
      <c r="M11" s="51" t="s">
        <v>467</v>
      </c>
      <c r="N11" s="38">
        <v>29</v>
      </c>
      <c r="O11" s="37">
        <v>26</v>
      </c>
      <c r="P11" s="51">
        <v>25</v>
      </c>
      <c r="Q11" s="38">
        <v>23</v>
      </c>
      <c r="R11" s="37">
        <v>25</v>
      </c>
      <c r="S11" s="51">
        <v>26</v>
      </c>
      <c r="T11" s="38">
        <v>26</v>
      </c>
      <c r="U11" s="37" t="s">
        <v>467</v>
      </c>
      <c r="V11" s="51">
        <v>30</v>
      </c>
      <c r="W11" s="51">
        <v>32</v>
      </c>
      <c r="X11" s="38">
        <v>28</v>
      </c>
      <c r="Y11" s="37">
        <f>LARGE((Table62346[[#This Row],[K1]:[Z4]]),1)</f>
        <v>32</v>
      </c>
      <c r="Z11" s="51">
        <f>LARGE((Table62346[[#This Row],[K1]:[Z4]]),2)</f>
        <v>30</v>
      </c>
      <c r="AA11" s="51">
        <f>LARGE((Table62346[[#This Row],[K1]:[Z4]]),3)</f>
        <v>29</v>
      </c>
      <c r="AB11" s="51">
        <f>LARGE((Table62346[[#This Row],[K1]:[Z4]]),4)</f>
        <v>28</v>
      </c>
      <c r="AC11" s="51">
        <f>LARGE((Table62346[[#This Row],[K1]:[Z4]]),5)</f>
        <v>26</v>
      </c>
      <c r="AD11" s="51">
        <f>LARGE((Table62346[[#This Row],[K1]:[Z4]]),6)</f>
        <v>26</v>
      </c>
      <c r="AE11" s="51">
        <f>LARGE((Table62346[[#This Row],[K1]:[Z4]]),7)</f>
        <v>26</v>
      </c>
      <c r="AF11" s="51">
        <f>LARGE((Table62346[[#This Row],[K1]:[Z4]]),8)</f>
        <v>26</v>
      </c>
      <c r="AG11" s="51">
        <f>LARGE((Table62346[[#This Row],[K1]:[Z4]]),9)</f>
        <v>25</v>
      </c>
      <c r="AH11" s="38">
        <f>LARGE((Table62346[[#This Row],[K1]:[Z4]]),10)</f>
        <v>25</v>
      </c>
      <c r="AI11" s="45">
        <f t="shared" si="0"/>
        <v>273</v>
      </c>
      <c r="AJ11" s="37">
        <f t="shared" si="1"/>
        <v>282</v>
      </c>
      <c r="AK11" s="11"/>
    </row>
    <row r="12" spans="1:37" ht="14.4" customHeight="1" x14ac:dyDescent="0.3">
      <c r="A12" s="59">
        <v>9</v>
      </c>
      <c r="B12" s="51">
        <v>62</v>
      </c>
      <c r="C12" t="str">
        <f>_xlfn.XLOOKUP(Table62346[[#This Row],[No.]],Sheet2!$B$33:$B$507,Sheet2!$C$33:$C$507)</f>
        <v>Rogan Jaggard</v>
      </c>
      <c r="D12" s="52">
        <f>_xlfn.XLOOKUP(Table62346[[#This Row],[No.]],Sheet2!$B$33:$B$507,Sheet2!$G$33:$G$507)</f>
        <v>43758</v>
      </c>
      <c r="E12" s="51" t="str">
        <f>_xlfn.XLOOKUP(Table62346[[#This Row],[No.]],Sheet2!$B$33:$B$507,Sheet2!$H$33:$H$507)</f>
        <v>KZN</v>
      </c>
      <c r="F12" s="30" t="str">
        <f>_xlfn.XLOOKUP(Table62346[[#This Row],[No.]],Sheet2!$B$33:$B$507,Sheet2!$D$33:$D$507)</f>
        <v>SODI</v>
      </c>
      <c r="G12" s="37">
        <v>3</v>
      </c>
      <c r="H12" s="51">
        <v>0</v>
      </c>
      <c r="I12" s="51">
        <v>0</v>
      </c>
      <c r="J12" s="51">
        <v>0</v>
      </c>
      <c r="K12" s="49">
        <f>SUM(Table62346[[#This Row],[SARMC 1]:[SARMC 4]])</f>
        <v>3</v>
      </c>
      <c r="L12" s="37">
        <v>24</v>
      </c>
      <c r="M12" s="51">
        <v>26</v>
      </c>
      <c r="N12" s="38">
        <v>24</v>
      </c>
      <c r="O12" s="37">
        <v>22</v>
      </c>
      <c r="P12" s="51">
        <v>17</v>
      </c>
      <c r="Q12" s="38">
        <v>18</v>
      </c>
      <c r="R12" s="37">
        <v>0</v>
      </c>
      <c r="S12" s="51">
        <v>0</v>
      </c>
      <c r="T12" s="38">
        <v>0</v>
      </c>
      <c r="U12" s="37">
        <v>26</v>
      </c>
      <c r="V12" s="51">
        <v>25</v>
      </c>
      <c r="W12" s="51">
        <v>23</v>
      </c>
      <c r="X12" s="38">
        <v>23</v>
      </c>
      <c r="Y12" s="37">
        <f>LARGE((Table62346[[#This Row],[K1]:[Z4]]),1)</f>
        <v>26</v>
      </c>
      <c r="Z12" s="51">
        <f>LARGE((Table62346[[#This Row],[K1]:[Z4]]),2)</f>
        <v>26</v>
      </c>
      <c r="AA12" s="51">
        <f>LARGE((Table62346[[#This Row],[K1]:[Z4]]),3)</f>
        <v>25</v>
      </c>
      <c r="AB12" s="51">
        <f>LARGE((Table62346[[#This Row],[K1]:[Z4]]),4)</f>
        <v>24</v>
      </c>
      <c r="AC12" s="51">
        <f>LARGE((Table62346[[#This Row],[K1]:[Z4]]),5)</f>
        <v>24</v>
      </c>
      <c r="AD12" s="51">
        <f>LARGE((Table62346[[#This Row],[K1]:[Z4]]),6)</f>
        <v>23</v>
      </c>
      <c r="AE12" s="51">
        <f>LARGE((Table62346[[#This Row],[K1]:[Z4]]),7)</f>
        <v>23</v>
      </c>
      <c r="AF12" s="51">
        <f>LARGE((Table62346[[#This Row],[K1]:[Z4]]),8)</f>
        <v>22</v>
      </c>
      <c r="AG12" s="51">
        <f>LARGE((Table62346[[#This Row],[K1]:[Z4]]),9)</f>
        <v>18</v>
      </c>
      <c r="AH12" s="38">
        <f>LARGE((Table62346[[#This Row],[K1]:[Z4]]),10)</f>
        <v>17</v>
      </c>
      <c r="AI12" s="45">
        <f t="shared" si="0"/>
        <v>228</v>
      </c>
      <c r="AJ12" s="37">
        <f t="shared" si="1"/>
        <v>231</v>
      </c>
      <c r="AK12" s="11"/>
    </row>
    <row r="13" spans="1:37" ht="14.4" x14ac:dyDescent="0.3">
      <c r="A13" s="59">
        <v>10</v>
      </c>
      <c r="B13" s="51">
        <v>71</v>
      </c>
      <c r="C13" t="s">
        <v>450</v>
      </c>
      <c r="D13" s="52">
        <v>6097</v>
      </c>
      <c r="E13" s="51" t="s">
        <v>36</v>
      </c>
      <c r="F13" s="30" t="s">
        <v>331</v>
      </c>
      <c r="G13" s="37">
        <v>0</v>
      </c>
      <c r="H13" s="51">
        <v>3</v>
      </c>
      <c r="I13" s="51">
        <v>0</v>
      </c>
      <c r="J13" s="51">
        <v>0</v>
      </c>
      <c r="K13" s="49">
        <f>SUM(Table62346[[#This Row],[SARMC 1]:[SARMC 4]])</f>
        <v>3</v>
      </c>
      <c r="L13" s="37">
        <v>0</v>
      </c>
      <c r="M13" s="51">
        <v>0</v>
      </c>
      <c r="N13" s="38">
        <v>0</v>
      </c>
      <c r="O13" s="37">
        <v>21</v>
      </c>
      <c r="P13" s="51">
        <v>22</v>
      </c>
      <c r="Q13" s="38">
        <v>18</v>
      </c>
      <c r="R13" s="37">
        <v>0</v>
      </c>
      <c r="S13" s="51">
        <v>0</v>
      </c>
      <c r="T13" s="38">
        <v>0</v>
      </c>
      <c r="U13" s="37">
        <v>27</v>
      </c>
      <c r="V13" s="51">
        <v>24</v>
      </c>
      <c r="W13" s="51">
        <v>24</v>
      </c>
      <c r="X13" s="38">
        <v>24</v>
      </c>
      <c r="Y13" s="37">
        <f>LARGE((Table62346[[#This Row],[K1]:[Z4]]),1)</f>
        <v>27</v>
      </c>
      <c r="Z13" s="51">
        <f>LARGE((Table62346[[#This Row],[K1]:[Z4]]),2)</f>
        <v>24</v>
      </c>
      <c r="AA13" s="51">
        <f>LARGE((Table62346[[#This Row],[K1]:[Z4]]),3)</f>
        <v>24</v>
      </c>
      <c r="AB13" s="51">
        <f>LARGE((Table62346[[#This Row],[K1]:[Z4]]),4)</f>
        <v>24</v>
      </c>
      <c r="AC13" s="51">
        <f>LARGE((Table62346[[#This Row],[K1]:[Z4]]),5)</f>
        <v>22</v>
      </c>
      <c r="AD13" s="51">
        <f>LARGE((Table62346[[#This Row],[K1]:[Z4]]),6)</f>
        <v>21</v>
      </c>
      <c r="AE13" s="51">
        <f>LARGE((Table62346[[#This Row],[K1]:[Z4]]),7)</f>
        <v>18</v>
      </c>
      <c r="AF13" s="51">
        <f>LARGE((Table62346[[#This Row],[K1]:[Z4]]),8)</f>
        <v>0</v>
      </c>
      <c r="AG13" s="51">
        <f>LARGE((Table62346[[#This Row],[K1]:[Z4]]),9)</f>
        <v>0</v>
      </c>
      <c r="AH13" s="38">
        <f>LARGE((Table62346[[#This Row],[K1]:[Z4]]),10)</f>
        <v>0</v>
      </c>
      <c r="AI13" s="45">
        <f t="shared" si="0"/>
        <v>160</v>
      </c>
      <c r="AJ13" s="37">
        <f t="shared" si="1"/>
        <v>163</v>
      </c>
      <c r="AK13" s="11"/>
    </row>
    <row r="14" spans="1:37" ht="14.4" customHeight="1" x14ac:dyDescent="0.3">
      <c r="A14" s="59">
        <v>11</v>
      </c>
      <c r="B14" s="51">
        <v>50</v>
      </c>
      <c r="C14" t="str">
        <f>_xlfn.XLOOKUP(Table62346[[#This Row],[No.]],Sheet2!$B$33:$B$507,Sheet2!$C$33:$C$507)</f>
        <v>Nikita Thieme</v>
      </c>
      <c r="D14" s="52" t="str">
        <f>_xlfn.XLOOKUP(Table62346[[#This Row],[No.]],Sheet2!$B$33:$B$507,Sheet2!$G$33:$G$507)</f>
        <v>NMSF630</v>
      </c>
      <c r="E14" s="51" t="s">
        <v>44</v>
      </c>
      <c r="F14" s="30" t="str">
        <f>_xlfn.XLOOKUP(Table62346[[#This Row],[No.]],Sheet2!$B$33:$B$507,Sheet2!$D$33:$D$507)</f>
        <v>SODI</v>
      </c>
      <c r="G14" s="37">
        <v>3</v>
      </c>
      <c r="H14" s="51">
        <v>3</v>
      </c>
      <c r="I14" s="51">
        <v>3</v>
      </c>
      <c r="J14" s="51">
        <v>0</v>
      </c>
      <c r="K14" s="49">
        <f>SUM(Table62346[[#This Row],[SARMC 1]:[SARMC 4]])</f>
        <v>9</v>
      </c>
      <c r="L14" s="37">
        <v>25</v>
      </c>
      <c r="M14" s="51">
        <v>27</v>
      </c>
      <c r="N14" s="38">
        <v>26</v>
      </c>
      <c r="O14" s="37">
        <v>0</v>
      </c>
      <c r="P14" s="51">
        <v>0</v>
      </c>
      <c r="Q14" s="38">
        <v>0</v>
      </c>
      <c r="R14" s="37">
        <v>0</v>
      </c>
      <c r="S14" s="51">
        <v>0</v>
      </c>
      <c r="T14" s="38">
        <v>0</v>
      </c>
      <c r="U14" s="37">
        <v>0</v>
      </c>
      <c r="V14" s="51">
        <v>0</v>
      </c>
      <c r="W14" s="51">
        <v>0</v>
      </c>
      <c r="X14" s="38">
        <v>0</v>
      </c>
      <c r="Y14" s="37">
        <f>LARGE((Table62346[[#This Row],[K1]:[Z4]]),1)</f>
        <v>27</v>
      </c>
      <c r="Z14" s="51">
        <f>LARGE((Table62346[[#This Row],[K1]:[Z4]]),2)</f>
        <v>26</v>
      </c>
      <c r="AA14" s="51">
        <f>LARGE((Table62346[[#This Row],[K1]:[Z4]]),3)</f>
        <v>25</v>
      </c>
      <c r="AB14" s="51">
        <f>LARGE((Table62346[[#This Row],[K1]:[Z4]]),4)</f>
        <v>0</v>
      </c>
      <c r="AC14" s="51">
        <f>LARGE((Table62346[[#This Row],[K1]:[Z4]]),5)</f>
        <v>0</v>
      </c>
      <c r="AD14" s="51">
        <f>LARGE((Table62346[[#This Row],[K1]:[Z4]]),6)</f>
        <v>0</v>
      </c>
      <c r="AE14" s="51">
        <f>LARGE((Table62346[[#This Row],[K1]:[Z4]]),7)</f>
        <v>0</v>
      </c>
      <c r="AF14" s="51">
        <f>LARGE((Table62346[[#This Row],[K1]:[Z4]]),8)</f>
        <v>0</v>
      </c>
      <c r="AG14" s="51">
        <f>LARGE((Table62346[[#This Row],[K1]:[Z4]]),9)</f>
        <v>0</v>
      </c>
      <c r="AH14" s="38">
        <f>LARGE((Table62346[[#This Row],[K1]:[Z4]]),10)</f>
        <v>0</v>
      </c>
      <c r="AI14" s="45">
        <f t="shared" si="0"/>
        <v>78</v>
      </c>
      <c r="AJ14" s="37">
        <f t="shared" si="1"/>
        <v>87</v>
      </c>
      <c r="AK14" s="11"/>
    </row>
    <row r="15" spans="1:37" ht="14.4" customHeight="1" x14ac:dyDescent="0.3">
      <c r="A15" s="59">
        <v>12</v>
      </c>
      <c r="B15" s="51">
        <v>22</v>
      </c>
      <c r="C15" t="str">
        <f>_xlfn.XLOOKUP(Table62346[[#This Row],[No.]],Sheet2!$B$33:$B$507,Sheet2!$C$33:$C$507)</f>
        <v>Olerato Sekudu</v>
      </c>
      <c r="D15" s="52">
        <f>_xlfn.XLOOKUP(Table62346[[#This Row],[No.]],Sheet2!$B$33:$B$507,Sheet2!$G$33:$G$507)</f>
        <v>27200</v>
      </c>
      <c r="E15" s="51" t="str">
        <f>_xlfn.XLOOKUP(Table62346[[#This Row],[No.]],Sheet2!$B$33:$B$507,Sheet2!$H$33:$H$507)</f>
        <v>NR</v>
      </c>
      <c r="F15" s="30" t="str">
        <f>_xlfn.XLOOKUP(Table62346[[#This Row],[No.]],Sheet2!$B$33:$B$507,Sheet2!$D$33:$D$507)</f>
        <v>LN</v>
      </c>
      <c r="G15" s="37">
        <v>0</v>
      </c>
      <c r="H15" s="51">
        <v>0</v>
      </c>
      <c r="I15" s="51">
        <v>3</v>
      </c>
      <c r="J15" s="51">
        <v>0</v>
      </c>
      <c r="K15" s="49">
        <f>SUM(Table62346[[#This Row],[SARMC 1]:[SARMC 4]])</f>
        <v>3</v>
      </c>
      <c r="L15" s="37">
        <v>0</v>
      </c>
      <c r="M15" s="51">
        <v>0</v>
      </c>
      <c r="N15" s="38">
        <v>0</v>
      </c>
      <c r="O15" s="37">
        <v>0</v>
      </c>
      <c r="P15" s="51">
        <v>0</v>
      </c>
      <c r="Q15" s="38">
        <v>0</v>
      </c>
      <c r="R15" s="37">
        <v>27</v>
      </c>
      <c r="S15" s="51">
        <v>28</v>
      </c>
      <c r="T15" s="38">
        <v>27</v>
      </c>
      <c r="U15" s="37">
        <v>0</v>
      </c>
      <c r="V15" s="51">
        <v>0</v>
      </c>
      <c r="W15" s="51">
        <v>0</v>
      </c>
      <c r="X15" s="38">
        <v>0</v>
      </c>
      <c r="Y15" s="37">
        <f>LARGE((Table62346[[#This Row],[K1]:[Z4]]),1)</f>
        <v>28</v>
      </c>
      <c r="Z15" s="51">
        <f>LARGE((Table62346[[#This Row],[K1]:[Z4]]),2)</f>
        <v>27</v>
      </c>
      <c r="AA15" s="51">
        <f>LARGE((Table62346[[#This Row],[K1]:[Z4]]),3)</f>
        <v>27</v>
      </c>
      <c r="AB15" s="51">
        <f>LARGE((Table62346[[#This Row],[K1]:[Z4]]),4)</f>
        <v>0</v>
      </c>
      <c r="AC15" s="51">
        <f>LARGE((Table62346[[#This Row],[K1]:[Z4]]),5)</f>
        <v>0</v>
      </c>
      <c r="AD15" s="51">
        <f>LARGE((Table62346[[#This Row],[K1]:[Z4]]),6)</f>
        <v>0</v>
      </c>
      <c r="AE15" s="51">
        <f>LARGE((Table62346[[#This Row],[K1]:[Z4]]),7)</f>
        <v>0</v>
      </c>
      <c r="AF15" s="51">
        <f>LARGE((Table62346[[#This Row],[K1]:[Z4]]),8)</f>
        <v>0</v>
      </c>
      <c r="AG15" s="51">
        <f>LARGE((Table62346[[#This Row],[K1]:[Z4]]),9)</f>
        <v>0</v>
      </c>
      <c r="AH15" s="38">
        <f>LARGE((Table62346[[#This Row],[K1]:[Z4]]),10)</f>
        <v>0</v>
      </c>
      <c r="AI15" s="45">
        <f t="shared" si="0"/>
        <v>82</v>
      </c>
      <c r="AJ15" s="37">
        <f t="shared" si="1"/>
        <v>85</v>
      </c>
      <c r="AK15" s="11"/>
    </row>
    <row r="16" spans="1:37" ht="14.4" customHeight="1" x14ac:dyDescent="0.3">
      <c r="A16" s="59">
        <v>13</v>
      </c>
      <c r="B16" s="51">
        <v>81</v>
      </c>
      <c r="C16" t="s">
        <v>187</v>
      </c>
      <c r="D16" s="52">
        <v>40829</v>
      </c>
      <c r="E16" s="51" t="s">
        <v>36</v>
      </c>
      <c r="F16" s="30" t="s">
        <v>331</v>
      </c>
      <c r="G16" s="37">
        <v>3</v>
      </c>
      <c r="H16" s="51">
        <v>3</v>
      </c>
      <c r="I16" s="51">
        <v>0</v>
      </c>
      <c r="J16" s="51">
        <v>0</v>
      </c>
      <c r="K16" s="49">
        <f>SUM(Table62346[[#This Row],[SARMC 1]:[SARMC 4]])</f>
        <v>6</v>
      </c>
      <c r="L16" s="37">
        <v>0</v>
      </c>
      <c r="M16" s="51">
        <v>0</v>
      </c>
      <c r="N16" s="38">
        <v>0</v>
      </c>
      <c r="O16" s="37">
        <v>24</v>
      </c>
      <c r="P16" s="51">
        <v>27</v>
      </c>
      <c r="Q16" s="38">
        <v>24</v>
      </c>
      <c r="R16" s="37">
        <v>0</v>
      </c>
      <c r="S16" s="51">
        <v>0</v>
      </c>
      <c r="T16" s="38">
        <v>0</v>
      </c>
      <c r="U16" s="37">
        <v>0</v>
      </c>
      <c r="V16" s="51">
        <v>0</v>
      </c>
      <c r="W16" s="51">
        <v>0</v>
      </c>
      <c r="X16" s="38">
        <v>0</v>
      </c>
      <c r="Y16" s="37">
        <f>LARGE((Table62346[[#This Row],[K1]:[Z4]]),1)</f>
        <v>27</v>
      </c>
      <c r="Z16" s="51">
        <f>LARGE((Table62346[[#This Row],[K1]:[Z4]]),2)</f>
        <v>24</v>
      </c>
      <c r="AA16" s="51">
        <f>LARGE((Table62346[[#This Row],[K1]:[Z4]]),3)</f>
        <v>24</v>
      </c>
      <c r="AB16" s="51">
        <f>LARGE((Table62346[[#This Row],[K1]:[Z4]]),4)</f>
        <v>0</v>
      </c>
      <c r="AC16" s="51">
        <f>LARGE((Table62346[[#This Row],[K1]:[Z4]]),5)</f>
        <v>0</v>
      </c>
      <c r="AD16" s="51">
        <f>LARGE((Table62346[[#This Row],[K1]:[Z4]]),6)</f>
        <v>0</v>
      </c>
      <c r="AE16" s="51">
        <f>LARGE((Table62346[[#This Row],[K1]:[Z4]]),7)</f>
        <v>0</v>
      </c>
      <c r="AF16" s="51">
        <f>LARGE((Table62346[[#This Row],[K1]:[Z4]]),8)</f>
        <v>0</v>
      </c>
      <c r="AG16" s="51">
        <f>LARGE((Table62346[[#This Row],[K1]:[Z4]]),9)</f>
        <v>0</v>
      </c>
      <c r="AH16" s="38">
        <f>LARGE((Table62346[[#This Row],[K1]:[Z4]]),10)</f>
        <v>0</v>
      </c>
      <c r="AI16" s="45">
        <f t="shared" si="0"/>
        <v>75</v>
      </c>
      <c r="AJ16" s="37">
        <f t="shared" si="1"/>
        <v>81</v>
      </c>
      <c r="AK16" s="11"/>
    </row>
    <row r="17" spans="1:37" ht="14.4" customHeight="1" x14ac:dyDescent="0.3">
      <c r="A17" s="59">
        <v>14</v>
      </c>
      <c r="B17" s="51">
        <v>40</v>
      </c>
      <c r="C17" t="s">
        <v>395</v>
      </c>
      <c r="D17" s="52">
        <v>46440</v>
      </c>
      <c r="E17" s="51" t="s">
        <v>36</v>
      </c>
      <c r="F17" s="30" t="s">
        <v>331</v>
      </c>
      <c r="G17" s="37">
        <v>0</v>
      </c>
      <c r="H17" s="51">
        <v>3</v>
      </c>
      <c r="I17" s="51">
        <v>0</v>
      </c>
      <c r="J17" s="51">
        <v>0</v>
      </c>
      <c r="K17" s="49">
        <f>SUM(Table62346[[#This Row],[SARMC 1]:[SARMC 4]])</f>
        <v>3</v>
      </c>
      <c r="L17" s="37">
        <v>0</v>
      </c>
      <c r="M17" s="51">
        <v>0</v>
      </c>
      <c r="N17" s="38">
        <v>0</v>
      </c>
      <c r="O17" s="37">
        <v>23</v>
      </c>
      <c r="P17" s="51">
        <v>23</v>
      </c>
      <c r="Q17" s="38">
        <v>25</v>
      </c>
      <c r="R17" s="37">
        <v>0</v>
      </c>
      <c r="S17" s="51">
        <v>0</v>
      </c>
      <c r="T17" s="38">
        <v>0</v>
      </c>
      <c r="U17" s="37">
        <v>0</v>
      </c>
      <c r="V17" s="51">
        <v>0</v>
      </c>
      <c r="W17" s="51">
        <v>0</v>
      </c>
      <c r="X17" s="38">
        <v>0</v>
      </c>
      <c r="Y17" s="37">
        <f>LARGE((Table62346[[#This Row],[K1]:[Z4]]),1)</f>
        <v>25</v>
      </c>
      <c r="Z17" s="51">
        <f>LARGE((Table62346[[#This Row],[K1]:[Z4]]),2)</f>
        <v>23</v>
      </c>
      <c r="AA17" s="51">
        <f>LARGE((Table62346[[#This Row],[K1]:[Z4]]),3)</f>
        <v>23</v>
      </c>
      <c r="AB17" s="51">
        <f>LARGE((Table62346[[#This Row],[K1]:[Z4]]),4)</f>
        <v>0</v>
      </c>
      <c r="AC17" s="51">
        <f>LARGE((Table62346[[#This Row],[K1]:[Z4]]),5)</f>
        <v>0</v>
      </c>
      <c r="AD17" s="51">
        <f>LARGE((Table62346[[#This Row],[K1]:[Z4]]),6)</f>
        <v>0</v>
      </c>
      <c r="AE17" s="51">
        <f>LARGE((Table62346[[#This Row],[K1]:[Z4]]),7)</f>
        <v>0</v>
      </c>
      <c r="AF17" s="51">
        <f>LARGE((Table62346[[#This Row],[K1]:[Z4]]),8)</f>
        <v>0</v>
      </c>
      <c r="AG17" s="51">
        <f>LARGE((Table62346[[#This Row],[K1]:[Z4]]),9)</f>
        <v>0</v>
      </c>
      <c r="AH17" s="38">
        <f>LARGE((Table62346[[#This Row],[K1]:[Z4]]),10)</f>
        <v>0</v>
      </c>
      <c r="AI17" s="45">
        <f t="shared" si="0"/>
        <v>71</v>
      </c>
      <c r="AJ17" s="37">
        <f t="shared" si="1"/>
        <v>74</v>
      </c>
      <c r="AK17" s="11"/>
    </row>
    <row r="18" spans="1:37" ht="14.4" customHeight="1" x14ac:dyDescent="0.3">
      <c r="A18" s="59">
        <v>15</v>
      </c>
      <c r="B18" s="51">
        <v>17</v>
      </c>
      <c r="C18" t="s">
        <v>281</v>
      </c>
      <c r="D18" s="52" t="s">
        <v>468</v>
      </c>
      <c r="E18" s="51" t="s">
        <v>415</v>
      </c>
      <c r="F18" s="30" t="s">
        <v>331</v>
      </c>
      <c r="G18" s="37">
        <v>0</v>
      </c>
      <c r="H18" s="51">
        <v>0</v>
      </c>
      <c r="I18" s="51">
        <v>0</v>
      </c>
      <c r="J18" s="51">
        <v>0</v>
      </c>
      <c r="K18" s="49">
        <f>SUM(Table62346[[#This Row],[SARMC 1]:[SARMC 4]])</f>
        <v>0</v>
      </c>
      <c r="L18" s="37">
        <v>0</v>
      </c>
      <c r="M18" s="51">
        <v>0</v>
      </c>
      <c r="N18" s="38">
        <v>0</v>
      </c>
      <c r="O18" s="37">
        <v>0</v>
      </c>
      <c r="P18" s="51">
        <v>0</v>
      </c>
      <c r="Q18" s="38">
        <v>0</v>
      </c>
      <c r="R18" s="37">
        <v>23</v>
      </c>
      <c r="S18" s="51">
        <v>24</v>
      </c>
      <c r="T18" s="38">
        <v>24</v>
      </c>
      <c r="U18" s="37">
        <v>0</v>
      </c>
      <c r="V18" s="51">
        <v>0</v>
      </c>
      <c r="W18" s="51">
        <v>0</v>
      </c>
      <c r="X18" s="38">
        <v>0</v>
      </c>
      <c r="Y18" s="37">
        <f>LARGE((Table62346[[#This Row],[K1]:[Z4]]),1)</f>
        <v>24</v>
      </c>
      <c r="Z18" s="51">
        <f>LARGE((Table62346[[#This Row],[K1]:[Z4]]),2)</f>
        <v>24</v>
      </c>
      <c r="AA18" s="51">
        <f>LARGE((Table62346[[#This Row],[K1]:[Z4]]),3)</f>
        <v>23</v>
      </c>
      <c r="AB18" s="51">
        <f>LARGE((Table62346[[#This Row],[K1]:[Z4]]),4)</f>
        <v>0</v>
      </c>
      <c r="AC18" s="51">
        <f>LARGE((Table62346[[#This Row],[K1]:[Z4]]),5)</f>
        <v>0</v>
      </c>
      <c r="AD18" s="51">
        <f>LARGE((Table62346[[#This Row],[K1]:[Z4]]),6)</f>
        <v>0</v>
      </c>
      <c r="AE18" s="51">
        <f>LARGE((Table62346[[#This Row],[K1]:[Z4]]),7)</f>
        <v>0</v>
      </c>
      <c r="AF18" s="51">
        <f>LARGE((Table62346[[#This Row],[K1]:[Z4]]),8)</f>
        <v>0</v>
      </c>
      <c r="AG18" s="51">
        <f>LARGE((Table62346[[#This Row],[K1]:[Z4]]),9)</f>
        <v>0</v>
      </c>
      <c r="AH18" s="38">
        <f>LARGE((Table62346[[#This Row],[K1]:[Z4]]),10)</f>
        <v>0</v>
      </c>
      <c r="AI18" s="45">
        <f t="shared" si="0"/>
        <v>71</v>
      </c>
      <c r="AJ18" s="37">
        <f t="shared" si="1"/>
        <v>71</v>
      </c>
      <c r="AK18" s="11"/>
    </row>
    <row r="19" spans="1:37" ht="14.4" customHeight="1" x14ac:dyDescent="0.3">
      <c r="A19" s="59">
        <v>16</v>
      </c>
      <c r="B19" s="51">
        <v>44</v>
      </c>
      <c r="C19" t="str">
        <f>_xlfn.XLOOKUP(Table62346[[#This Row],[No.]],Sheet2!$B$33:$B$507,Sheet2!$C$33:$C$507)</f>
        <v>Freddie Nunes</v>
      </c>
      <c r="D19" s="52" t="str">
        <f>_xlfn.XLOOKUP(Table62346[[#This Row],[No.]],Sheet2!$B$33:$B$507,Sheet2!$G$33:$G$507)</f>
        <v>D014</v>
      </c>
      <c r="E19" s="51" t="str">
        <f>_xlfn.XLOOKUP(Table62346[[#This Row],[No.]],Sheet2!$B$33:$B$507,Sheet2!$H$33:$H$507)</f>
        <v>MOZ</v>
      </c>
      <c r="F19" s="30" t="str">
        <f>_xlfn.XLOOKUP(Table62346[[#This Row],[No.]],Sheet2!$B$33:$B$507,Sheet2!$D$33:$D$507)</f>
        <v>BIRELART</v>
      </c>
      <c r="G19" s="37">
        <v>3</v>
      </c>
      <c r="H19" s="51">
        <v>0</v>
      </c>
      <c r="I19" s="51">
        <v>0</v>
      </c>
      <c r="J19" s="51">
        <v>0</v>
      </c>
      <c r="K19" s="49">
        <f>SUM(Table62346[[#This Row],[SARMC 1]:[SARMC 4]])</f>
        <v>3</v>
      </c>
      <c r="L19" s="37">
        <v>0</v>
      </c>
      <c r="M19" s="51">
        <v>0</v>
      </c>
      <c r="N19" s="38">
        <v>0</v>
      </c>
      <c r="O19" s="37">
        <v>0</v>
      </c>
      <c r="P19" s="51">
        <v>0</v>
      </c>
      <c r="Q19" s="38">
        <v>0</v>
      </c>
      <c r="R19" s="37">
        <v>22</v>
      </c>
      <c r="S19" s="51">
        <v>17</v>
      </c>
      <c r="T19" s="38">
        <v>22</v>
      </c>
      <c r="U19" s="37">
        <v>0</v>
      </c>
      <c r="V19" s="51">
        <v>0</v>
      </c>
      <c r="W19" s="51">
        <v>0</v>
      </c>
      <c r="X19" s="38">
        <v>0</v>
      </c>
      <c r="Y19" s="37">
        <f>LARGE((Table62346[[#This Row],[K1]:[Z4]]),1)</f>
        <v>22</v>
      </c>
      <c r="Z19" s="51">
        <f>LARGE((Table62346[[#This Row],[K1]:[Z4]]),2)</f>
        <v>22</v>
      </c>
      <c r="AA19" s="51">
        <f>LARGE((Table62346[[#This Row],[K1]:[Z4]]),3)</f>
        <v>17</v>
      </c>
      <c r="AB19" s="51">
        <f>LARGE((Table62346[[#This Row],[K1]:[Z4]]),4)</f>
        <v>0</v>
      </c>
      <c r="AC19" s="51">
        <f>LARGE((Table62346[[#This Row],[K1]:[Z4]]),5)</f>
        <v>0</v>
      </c>
      <c r="AD19" s="51">
        <f>LARGE((Table62346[[#This Row],[K1]:[Z4]]),6)</f>
        <v>0</v>
      </c>
      <c r="AE19" s="51">
        <f>LARGE((Table62346[[#This Row],[K1]:[Z4]]),7)</f>
        <v>0</v>
      </c>
      <c r="AF19" s="51">
        <f>LARGE((Table62346[[#This Row],[K1]:[Z4]]),8)</f>
        <v>0</v>
      </c>
      <c r="AG19" s="51">
        <f>LARGE((Table62346[[#This Row],[K1]:[Z4]]),9)</f>
        <v>0</v>
      </c>
      <c r="AH19" s="38">
        <f>LARGE((Table62346[[#This Row],[K1]:[Z4]]),10)</f>
        <v>0</v>
      </c>
      <c r="AI19" s="45">
        <f t="shared" si="0"/>
        <v>61</v>
      </c>
      <c r="AJ19" s="37">
        <f t="shared" si="1"/>
        <v>64</v>
      </c>
      <c r="AK19" s="11"/>
    </row>
    <row r="20" spans="1:37" ht="14.4" x14ac:dyDescent="0.3">
      <c r="A20" s="59">
        <v>17</v>
      </c>
      <c r="B20" s="51">
        <v>39</v>
      </c>
      <c r="C20" t="s">
        <v>469</v>
      </c>
      <c r="D20" s="52" t="s">
        <v>470</v>
      </c>
      <c r="E20" s="51" t="s">
        <v>39</v>
      </c>
      <c r="F20" s="30" t="s">
        <v>347</v>
      </c>
      <c r="G20" s="37">
        <v>0</v>
      </c>
      <c r="H20" s="51">
        <v>0</v>
      </c>
      <c r="I20" s="51">
        <v>0</v>
      </c>
      <c r="J20" s="51">
        <v>0</v>
      </c>
      <c r="K20" s="49">
        <f>SUM(Table62346[[#This Row],[SARMC 1]:[SARMC 4]])</f>
        <v>0</v>
      </c>
      <c r="L20" s="37">
        <v>0</v>
      </c>
      <c r="M20" s="51">
        <v>0</v>
      </c>
      <c r="N20" s="38">
        <v>0</v>
      </c>
      <c r="O20" s="37">
        <v>0</v>
      </c>
      <c r="P20" s="51">
        <v>0</v>
      </c>
      <c r="Q20" s="38">
        <v>0</v>
      </c>
      <c r="R20" s="37">
        <v>21</v>
      </c>
      <c r="S20" s="51">
        <v>22</v>
      </c>
      <c r="T20" s="38">
        <v>17</v>
      </c>
      <c r="U20" s="37">
        <v>0</v>
      </c>
      <c r="V20" s="51">
        <v>0</v>
      </c>
      <c r="W20" s="51">
        <v>0</v>
      </c>
      <c r="X20" s="38">
        <v>0</v>
      </c>
      <c r="Y20" s="37">
        <f>LARGE((Table62346[[#This Row],[K1]:[Z4]]),1)</f>
        <v>22</v>
      </c>
      <c r="Z20" s="51">
        <f>LARGE((Table62346[[#This Row],[K1]:[Z4]]),2)</f>
        <v>21</v>
      </c>
      <c r="AA20" s="51">
        <f>LARGE((Table62346[[#This Row],[K1]:[Z4]]),3)</f>
        <v>17</v>
      </c>
      <c r="AB20" s="51">
        <f>LARGE((Table62346[[#This Row],[K1]:[Z4]]),4)</f>
        <v>0</v>
      </c>
      <c r="AC20" s="51">
        <f>LARGE((Table62346[[#This Row],[K1]:[Z4]]),5)</f>
        <v>0</v>
      </c>
      <c r="AD20" s="51">
        <f>LARGE((Table62346[[#This Row],[K1]:[Z4]]),6)</f>
        <v>0</v>
      </c>
      <c r="AE20" s="51">
        <f>LARGE((Table62346[[#This Row],[K1]:[Z4]]),7)</f>
        <v>0</v>
      </c>
      <c r="AF20" s="51">
        <f>LARGE((Table62346[[#This Row],[K1]:[Z4]]),8)</f>
        <v>0</v>
      </c>
      <c r="AG20" s="51">
        <f>LARGE((Table62346[[#This Row],[K1]:[Z4]]),9)</f>
        <v>0</v>
      </c>
      <c r="AH20" s="38">
        <f>LARGE((Table62346[[#This Row],[K1]:[Z4]]),10)</f>
        <v>0</v>
      </c>
      <c r="AI20" s="45">
        <f t="shared" si="0"/>
        <v>60</v>
      </c>
      <c r="AJ20" s="37">
        <f t="shared" si="1"/>
        <v>60</v>
      </c>
      <c r="AK20" s="11"/>
    </row>
    <row r="21" spans="1:37" ht="14.4" x14ac:dyDescent="0.3">
      <c r="A21" s="59">
        <v>18</v>
      </c>
      <c r="B21" s="51">
        <v>27</v>
      </c>
      <c r="C21" t="str">
        <f>_xlfn.XLOOKUP(Table62346[[#This Row],[No.]],Sheet2!$B$33:$B$507,Sheet2!$C$33:$C$507)</f>
        <v>Storm Lanfear</v>
      </c>
      <c r="D21" s="52">
        <f>_xlfn.XLOOKUP(Table62346[[#This Row],[No.]],Sheet2!$B$33:$B$507,Sheet2!$G$33:$G$507)</f>
        <v>9999</v>
      </c>
      <c r="E21" s="51" t="str">
        <f>_xlfn.XLOOKUP(Table62346[[#This Row],[No.]],Sheet2!$B$33:$B$507,Sheet2!$H$33:$H$507)</f>
        <v>WP</v>
      </c>
      <c r="F21" s="30" t="str">
        <f>_xlfn.XLOOKUP(Table62346[[#This Row],[No.]],Sheet2!$B$33:$B$507,Sheet2!$D$33:$D$507)</f>
        <v>KOSMIC</v>
      </c>
      <c r="G21" s="37">
        <v>3</v>
      </c>
      <c r="H21" s="51">
        <v>3</v>
      </c>
      <c r="I21" s="51">
        <v>0</v>
      </c>
      <c r="J21" s="51">
        <v>3</v>
      </c>
      <c r="K21" s="49">
        <f>SUM(Table62346[[#This Row],[SARMC 1]:[SARMC 4]])</f>
        <v>9</v>
      </c>
      <c r="L21" s="37">
        <v>19</v>
      </c>
      <c r="M21" s="51" t="s">
        <v>467</v>
      </c>
      <c r="N21" s="38">
        <v>28</v>
      </c>
      <c r="O21" s="37">
        <v>0</v>
      </c>
      <c r="P21" s="51">
        <v>0</v>
      </c>
      <c r="Q21" s="38">
        <v>0</v>
      </c>
      <c r="R21" s="37">
        <v>0</v>
      </c>
      <c r="S21" s="51">
        <v>0</v>
      </c>
      <c r="T21" s="38">
        <v>0</v>
      </c>
      <c r="U21" s="37">
        <v>0</v>
      </c>
      <c r="V21" s="51">
        <v>0</v>
      </c>
      <c r="W21" s="51">
        <v>0</v>
      </c>
      <c r="X21" s="38">
        <v>0</v>
      </c>
      <c r="Y21" s="37">
        <f>LARGE((Table62346[[#This Row],[K1]:[Z4]]),1)</f>
        <v>28</v>
      </c>
      <c r="Z21" s="51">
        <f>LARGE((Table62346[[#This Row],[K1]:[Z4]]),2)</f>
        <v>19</v>
      </c>
      <c r="AA21" s="51">
        <f>LARGE((Table62346[[#This Row],[K1]:[Z4]]),3)</f>
        <v>0</v>
      </c>
      <c r="AB21" s="51">
        <f>LARGE((Table62346[[#This Row],[K1]:[Z4]]),4)</f>
        <v>0</v>
      </c>
      <c r="AC21" s="51">
        <f>LARGE((Table62346[[#This Row],[K1]:[Z4]]),5)</f>
        <v>0</v>
      </c>
      <c r="AD21" s="51">
        <f>LARGE((Table62346[[#This Row],[K1]:[Z4]]),6)</f>
        <v>0</v>
      </c>
      <c r="AE21" s="51">
        <f>LARGE((Table62346[[#This Row],[K1]:[Z4]]),7)</f>
        <v>0</v>
      </c>
      <c r="AF21" s="51">
        <f>LARGE((Table62346[[#This Row],[K1]:[Z4]]),8)</f>
        <v>0</v>
      </c>
      <c r="AG21" s="51">
        <f>LARGE((Table62346[[#This Row],[K1]:[Z4]]),9)</f>
        <v>0</v>
      </c>
      <c r="AH21" s="38">
        <f>LARGE((Table62346[[#This Row],[K1]:[Z4]]),10)</f>
        <v>0</v>
      </c>
      <c r="AI21" s="45">
        <f t="shared" si="0"/>
        <v>47</v>
      </c>
      <c r="AJ21" s="37">
        <f t="shared" si="1"/>
        <v>56</v>
      </c>
      <c r="AK21" s="11"/>
    </row>
    <row r="22" spans="1:37" ht="14.4" x14ac:dyDescent="0.3">
      <c r="A22" s="59">
        <v>19</v>
      </c>
      <c r="B22" s="51">
        <v>11</v>
      </c>
      <c r="C22" t="s">
        <v>111</v>
      </c>
      <c r="D22" s="52"/>
      <c r="E22" s="51" t="s">
        <v>44</v>
      </c>
      <c r="F22" s="30" t="s">
        <v>358</v>
      </c>
      <c r="G22" s="37">
        <v>3</v>
      </c>
      <c r="H22" s="51">
        <v>3</v>
      </c>
      <c r="I22" s="51">
        <v>3</v>
      </c>
      <c r="J22" s="51">
        <v>3</v>
      </c>
      <c r="K22" s="49">
        <f>SUM(Table62346[[#This Row],[SARMC 1]:[SARMC 4]])</f>
        <v>12</v>
      </c>
      <c r="L22" s="37">
        <v>0</v>
      </c>
      <c r="M22" s="51">
        <v>0</v>
      </c>
      <c r="N22" s="38">
        <v>0</v>
      </c>
      <c r="O22" s="37">
        <v>0</v>
      </c>
      <c r="P22" s="51">
        <v>0</v>
      </c>
      <c r="Q22" s="38">
        <v>0</v>
      </c>
      <c r="R22" s="37">
        <v>0</v>
      </c>
      <c r="S22" s="51">
        <v>0</v>
      </c>
      <c r="T22" s="38">
        <v>0</v>
      </c>
      <c r="U22" s="37">
        <v>0</v>
      </c>
      <c r="V22" s="51">
        <v>0</v>
      </c>
      <c r="W22" s="51">
        <v>0</v>
      </c>
      <c r="X22" s="38">
        <v>0</v>
      </c>
      <c r="Y22" s="37">
        <f>LARGE((Table62346[[#This Row],[K1]:[Z4]]),1)</f>
        <v>0</v>
      </c>
      <c r="Z22" s="51">
        <f>LARGE((Table62346[[#This Row],[K1]:[Z4]]),2)</f>
        <v>0</v>
      </c>
      <c r="AA22" s="51">
        <f>LARGE((Table62346[[#This Row],[K1]:[Z4]]),3)</f>
        <v>0</v>
      </c>
      <c r="AB22" s="51">
        <f>LARGE((Table62346[[#This Row],[K1]:[Z4]]),4)</f>
        <v>0</v>
      </c>
      <c r="AC22" s="51">
        <f>LARGE((Table62346[[#This Row],[K1]:[Z4]]),5)</f>
        <v>0</v>
      </c>
      <c r="AD22" s="51">
        <f>LARGE((Table62346[[#This Row],[K1]:[Z4]]),6)</f>
        <v>0</v>
      </c>
      <c r="AE22" s="51">
        <f>LARGE((Table62346[[#This Row],[K1]:[Z4]]),7)</f>
        <v>0</v>
      </c>
      <c r="AF22" s="51">
        <f>LARGE((Table62346[[#This Row],[K1]:[Z4]]),8)</f>
        <v>0</v>
      </c>
      <c r="AG22" s="51">
        <f>LARGE((Table62346[[#This Row],[K1]:[Z4]]),9)</f>
        <v>0</v>
      </c>
      <c r="AH22" s="38">
        <f>LARGE((Table62346[[#This Row],[K1]:[Z4]]),10)</f>
        <v>0</v>
      </c>
      <c r="AI22" s="45">
        <f t="shared" si="0"/>
        <v>0</v>
      </c>
      <c r="AJ22" s="37">
        <f t="shared" si="1"/>
        <v>12</v>
      </c>
      <c r="AK22" s="11"/>
    </row>
    <row r="23" spans="1:37" ht="14.4" x14ac:dyDescent="0.3">
      <c r="A23" s="59">
        <v>20</v>
      </c>
      <c r="B23" s="51">
        <v>169</v>
      </c>
      <c r="C23" t="str">
        <f>_xlfn.XLOOKUP(Table62346[[#This Row],[No.]],Sheet2!$B$33:$B$507,Sheet2!$C$33:$C$507)</f>
        <v>Jonathan Pieterse</v>
      </c>
      <c r="D23" s="52">
        <f>_xlfn.XLOOKUP(Table62346[[#This Row],[No.]],Sheet2!$B$33:$B$507,Sheet2!$G$33:$G$507)</f>
        <v>2227</v>
      </c>
      <c r="E23" s="51" t="str">
        <f>_xlfn.XLOOKUP(Table62346[[#This Row],[No.]],Sheet2!$B$33:$B$507,Sheet2!$H$33:$H$507)</f>
        <v>KZN</v>
      </c>
      <c r="F23" s="30" t="str">
        <f>_xlfn.XLOOKUP(Table62346[[#This Row],[No.]],Sheet2!$B$33:$B$507,Sheet2!$D$33:$D$507)</f>
        <v>TONY</v>
      </c>
      <c r="G23" s="37">
        <v>3</v>
      </c>
      <c r="H23" s="51">
        <v>0</v>
      </c>
      <c r="I23" s="51">
        <v>0</v>
      </c>
      <c r="J23" s="51">
        <v>3</v>
      </c>
      <c r="K23" s="49">
        <f>SUM(Table62346[[#This Row],[SARMC 1]:[SARMC 4]])</f>
        <v>6</v>
      </c>
      <c r="L23" s="37">
        <v>0</v>
      </c>
      <c r="M23" s="51">
        <v>0</v>
      </c>
      <c r="N23" s="38">
        <v>0</v>
      </c>
      <c r="O23" s="37">
        <v>0</v>
      </c>
      <c r="P23" s="51">
        <v>0</v>
      </c>
      <c r="Q23" s="38">
        <v>0</v>
      </c>
      <c r="R23" s="37">
        <v>0</v>
      </c>
      <c r="S23" s="51">
        <v>0</v>
      </c>
      <c r="T23" s="38">
        <v>0</v>
      </c>
      <c r="U23" s="37">
        <v>0</v>
      </c>
      <c r="V23" s="51">
        <v>0</v>
      </c>
      <c r="W23" s="51">
        <v>0</v>
      </c>
      <c r="X23" s="38">
        <v>0</v>
      </c>
      <c r="Y23" s="37">
        <f>LARGE((Table62346[[#This Row],[K1]:[Z4]]),1)</f>
        <v>0</v>
      </c>
      <c r="Z23" s="51">
        <f>LARGE((Table62346[[#This Row],[K1]:[Z4]]),2)</f>
        <v>0</v>
      </c>
      <c r="AA23" s="51">
        <f>LARGE((Table62346[[#This Row],[K1]:[Z4]]),3)</f>
        <v>0</v>
      </c>
      <c r="AB23" s="51">
        <f>LARGE((Table62346[[#This Row],[K1]:[Z4]]),4)</f>
        <v>0</v>
      </c>
      <c r="AC23" s="51">
        <f>LARGE((Table62346[[#This Row],[K1]:[Z4]]),5)</f>
        <v>0</v>
      </c>
      <c r="AD23" s="51">
        <f>LARGE((Table62346[[#This Row],[K1]:[Z4]]),6)</f>
        <v>0</v>
      </c>
      <c r="AE23" s="51">
        <f>LARGE((Table62346[[#This Row],[K1]:[Z4]]),7)</f>
        <v>0</v>
      </c>
      <c r="AF23" s="51">
        <f>LARGE((Table62346[[#This Row],[K1]:[Z4]]),8)</f>
        <v>0</v>
      </c>
      <c r="AG23" s="51">
        <f>LARGE((Table62346[[#This Row],[K1]:[Z4]]),9)</f>
        <v>0</v>
      </c>
      <c r="AH23" s="38">
        <f>LARGE((Table62346[[#This Row],[K1]:[Z4]]),10)</f>
        <v>0</v>
      </c>
      <c r="AI23" s="45">
        <f t="shared" si="0"/>
        <v>0</v>
      </c>
      <c r="AJ23" s="37">
        <f t="shared" si="1"/>
        <v>6</v>
      </c>
      <c r="AK23" s="11"/>
    </row>
    <row r="24" spans="1:37" ht="14.4" x14ac:dyDescent="0.3">
      <c r="A24" s="59">
        <v>21</v>
      </c>
      <c r="B24" s="51">
        <v>29</v>
      </c>
      <c r="C24" t="str">
        <f>_xlfn.XLOOKUP(Table62346[[#This Row],[No.]],Sheet2!$B$33:$B$507,Sheet2!$C$33:$C$507)</f>
        <v>Rafe Tayler</v>
      </c>
      <c r="D24" s="52">
        <f>_xlfn.XLOOKUP(Table62346[[#This Row],[No.]],Sheet2!$B$33:$B$507,Sheet2!$G$33:$G$507)</f>
        <v>123</v>
      </c>
      <c r="E24" s="51" t="str">
        <f>_xlfn.XLOOKUP(Table62346[[#This Row],[No.]],Sheet2!$B$33:$B$507,Sheet2!$H$33:$H$507)</f>
        <v>WP</v>
      </c>
      <c r="F24" s="30" t="str">
        <f>_xlfn.XLOOKUP(Table62346[[#This Row],[No.]],Sheet2!$B$33:$B$507,Sheet2!$D$33:$D$507)</f>
        <v>CRG</v>
      </c>
      <c r="G24" s="37">
        <v>3</v>
      </c>
      <c r="H24" s="51">
        <v>0</v>
      </c>
      <c r="I24" s="51">
        <v>0</v>
      </c>
      <c r="J24" s="51">
        <v>3</v>
      </c>
      <c r="K24" s="49">
        <f>SUM(Table62346[[#This Row],[SARMC 1]:[SARMC 4]])</f>
        <v>6</v>
      </c>
      <c r="L24" s="37">
        <v>0</v>
      </c>
      <c r="M24" s="51">
        <v>0</v>
      </c>
      <c r="N24" s="38">
        <v>0</v>
      </c>
      <c r="O24" s="37">
        <v>0</v>
      </c>
      <c r="P24" s="51">
        <v>0</v>
      </c>
      <c r="Q24" s="38">
        <v>0</v>
      </c>
      <c r="R24" s="37">
        <v>0</v>
      </c>
      <c r="S24" s="51">
        <v>0</v>
      </c>
      <c r="T24" s="38">
        <v>0</v>
      </c>
      <c r="U24" s="37">
        <v>0</v>
      </c>
      <c r="V24" s="51">
        <v>0</v>
      </c>
      <c r="W24" s="51">
        <v>0</v>
      </c>
      <c r="X24" s="38">
        <v>0</v>
      </c>
      <c r="Y24" s="37">
        <f>LARGE((Table62346[[#This Row],[K1]:[Z4]]),1)</f>
        <v>0</v>
      </c>
      <c r="Z24" s="51">
        <f>LARGE((Table62346[[#This Row],[K1]:[Z4]]),2)</f>
        <v>0</v>
      </c>
      <c r="AA24" s="51">
        <f>LARGE((Table62346[[#This Row],[K1]:[Z4]]),3)</f>
        <v>0</v>
      </c>
      <c r="AB24" s="51">
        <f>LARGE((Table62346[[#This Row],[K1]:[Z4]]),4)</f>
        <v>0</v>
      </c>
      <c r="AC24" s="51">
        <f>LARGE((Table62346[[#This Row],[K1]:[Z4]]),5)</f>
        <v>0</v>
      </c>
      <c r="AD24" s="51">
        <f>LARGE((Table62346[[#This Row],[K1]:[Z4]]),6)</f>
        <v>0</v>
      </c>
      <c r="AE24" s="51">
        <f>LARGE((Table62346[[#This Row],[K1]:[Z4]]),7)</f>
        <v>0</v>
      </c>
      <c r="AF24" s="51">
        <f>LARGE((Table62346[[#This Row],[K1]:[Z4]]),8)</f>
        <v>0</v>
      </c>
      <c r="AG24" s="51">
        <f>LARGE((Table62346[[#This Row],[K1]:[Z4]]),9)</f>
        <v>0</v>
      </c>
      <c r="AH24" s="38">
        <f>LARGE((Table62346[[#This Row],[K1]:[Z4]]),10)</f>
        <v>0</v>
      </c>
      <c r="AI24" s="45">
        <f t="shared" si="0"/>
        <v>0</v>
      </c>
      <c r="AJ24" s="37">
        <f t="shared" si="1"/>
        <v>6</v>
      </c>
      <c r="AK24" s="11"/>
    </row>
    <row r="25" spans="1:37" ht="14.4" x14ac:dyDescent="0.3">
      <c r="A25" s="59">
        <v>22</v>
      </c>
      <c r="B25" s="51">
        <v>123</v>
      </c>
      <c r="C25" t="str">
        <f>_xlfn.XLOOKUP(Table62346[[#This Row],[No.]],Sheet2!$B$33:$B$507,Sheet2!$C$33:$C$507)</f>
        <v>Michael Jordan</v>
      </c>
      <c r="D25" s="52">
        <f>_xlfn.XLOOKUP(Table62346[[#This Row],[No.]],Sheet2!$B$33:$B$507,Sheet2!$G$33:$G$507)</f>
        <v>13349</v>
      </c>
      <c r="E25" s="51" t="str">
        <f>_xlfn.XLOOKUP(Table62346[[#This Row],[No.]],Sheet2!$B$33:$B$507,Sheet2!$H$33:$H$507)</f>
        <v>WP</v>
      </c>
      <c r="F25" s="30" t="s">
        <v>331</v>
      </c>
      <c r="G25" s="37">
        <v>0</v>
      </c>
      <c r="H25" s="51">
        <v>0</v>
      </c>
      <c r="I25" s="51">
        <v>3</v>
      </c>
      <c r="J25" s="51">
        <v>3</v>
      </c>
      <c r="K25" s="49">
        <f>SUM(Table62346[[#This Row],[SARMC 1]:[SARMC 4]])</f>
        <v>6</v>
      </c>
      <c r="L25" s="37">
        <v>0</v>
      </c>
      <c r="M25" s="51">
        <v>0</v>
      </c>
      <c r="N25" s="38">
        <v>0</v>
      </c>
      <c r="O25" s="37">
        <v>0</v>
      </c>
      <c r="P25" s="51">
        <v>0</v>
      </c>
      <c r="Q25" s="38">
        <v>0</v>
      </c>
      <c r="R25" s="37">
        <v>0</v>
      </c>
      <c r="S25" s="51">
        <v>0</v>
      </c>
      <c r="T25" s="38">
        <v>0</v>
      </c>
      <c r="U25" s="37">
        <v>0</v>
      </c>
      <c r="V25" s="51">
        <v>0</v>
      </c>
      <c r="W25" s="51">
        <v>0</v>
      </c>
      <c r="X25" s="38">
        <v>0</v>
      </c>
      <c r="Y25" s="37">
        <f>LARGE((Table62346[[#This Row],[K1]:[Z4]]),1)</f>
        <v>0</v>
      </c>
      <c r="Z25" s="51">
        <f>LARGE((Table62346[[#This Row],[K1]:[Z4]]),2)</f>
        <v>0</v>
      </c>
      <c r="AA25" s="51">
        <f>LARGE((Table62346[[#This Row],[K1]:[Z4]]),3)</f>
        <v>0</v>
      </c>
      <c r="AB25" s="51">
        <f>LARGE((Table62346[[#This Row],[K1]:[Z4]]),4)</f>
        <v>0</v>
      </c>
      <c r="AC25" s="51">
        <f>LARGE((Table62346[[#This Row],[K1]:[Z4]]),5)</f>
        <v>0</v>
      </c>
      <c r="AD25" s="51">
        <f>LARGE((Table62346[[#This Row],[K1]:[Z4]]),6)</f>
        <v>0</v>
      </c>
      <c r="AE25" s="51">
        <f>LARGE((Table62346[[#This Row],[K1]:[Z4]]),7)</f>
        <v>0</v>
      </c>
      <c r="AF25" s="51">
        <f>LARGE((Table62346[[#This Row],[K1]:[Z4]]),8)</f>
        <v>0</v>
      </c>
      <c r="AG25" s="51">
        <f>LARGE((Table62346[[#This Row],[K1]:[Z4]]),9)</f>
        <v>0</v>
      </c>
      <c r="AH25" s="38">
        <f>LARGE((Table62346[[#This Row],[K1]:[Z4]]),10)</f>
        <v>0</v>
      </c>
      <c r="AI25" s="45">
        <f t="shared" si="0"/>
        <v>0</v>
      </c>
      <c r="AJ25" s="37">
        <f t="shared" si="1"/>
        <v>6</v>
      </c>
      <c r="AK25" s="11"/>
    </row>
    <row r="26" spans="1:37" ht="14.4" x14ac:dyDescent="0.3">
      <c r="A26" s="59">
        <v>23</v>
      </c>
      <c r="B26" s="51">
        <v>162</v>
      </c>
      <c r="C26" t="s">
        <v>461</v>
      </c>
      <c r="D26" s="52"/>
      <c r="E26" s="51" t="s">
        <v>44</v>
      </c>
      <c r="F26" s="30" t="s">
        <v>331</v>
      </c>
      <c r="G26" s="37">
        <v>0</v>
      </c>
      <c r="H26" s="51">
        <v>0</v>
      </c>
      <c r="I26" s="51">
        <v>3</v>
      </c>
      <c r="J26" s="51">
        <v>3</v>
      </c>
      <c r="K26" s="49">
        <f>SUM(Table62346[[#This Row],[SARMC 1]:[SARMC 4]])</f>
        <v>6</v>
      </c>
      <c r="L26" s="37">
        <v>0</v>
      </c>
      <c r="M26" s="51">
        <v>0</v>
      </c>
      <c r="N26" s="38">
        <v>0</v>
      </c>
      <c r="O26" s="37">
        <v>0</v>
      </c>
      <c r="P26" s="51">
        <v>0</v>
      </c>
      <c r="Q26" s="38">
        <v>0</v>
      </c>
      <c r="R26" s="37">
        <v>0</v>
      </c>
      <c r="S26" s="51">
        <v>0</v>
      </c>
      <c r="T26" s="38">
        <v>0</v>
      </c>
      <c r="U26" s="37">
        <v>0</v>
      </c>
      <c r="V26" s="51">
        <v>0</v>
      </c>
      <c r="W26" s="51">
        <v>0</v>
      </c>
      <c r="X26" s="38">
        <v>0</v>
      </c>
      <c r="Y26" s="37">
        <f>LARGE((Table62346[[#This Row],[K1]:[Z4]]),1)</f>
        <v>0</v>
      </c>
      <c r="Z26" s="51">
        <f>LARGE((Table62346[[#This Row],[K1]:[Z4]]),2)</f>
        <v>0</v>
      </c>
      <c r="AA26" s="51">
        <f>LARGE((Table62346[[#This Row],[K1]:[Z4]]),3)</f>
        <v>0</v>
      </c>
      <c r="AB26" s="51">
        <f>LARGE((Table62346[[#This Row],[K1]:[Z4]]),4)</f>
        <v>0</v>
      </c>
      <c r="AC26" s="51">
        <f>LARGE((Table62346[[#This Row],[K1]:[Z4]]),5)</f>
        <v>0</v>
      </c>
      <c r="AD26" s="51">
        <f>LARGE((Table62346[[#This Row],[K1]:[Z4]]),6)</f>
        <v>0</v>
      </c>
      <c r="AE26" s="51">
        <f>LARGE((Table62346[[#This Row],[K1]:[Z4]]),7)</f>
        <v>0</v>
      </c>
      <c r="AF26" s="51">
        <f>LARGE((Table62346[[#This Row],[K1]:[Z4]]),8)</f>
        <v>0</v>
      </c>
      <c r="AG26" s="51">
        <f>LARGE((Table62346[[#This Row],[K1]:[Z4]]),9)</f>
        <v>0</v>
      </c>
      <c r="AH26" s="38">
        <f>LARGE((Table62346[[#This Row],[K1]:[Z4]]),10)</f>
        <v>0</v>
      </c>
      <c r="AI26" s="45">
        <f t="shared" si="0"/>
        <v>0</v>
      </c>
      <c r="AJ26" s="37">
        <f t="shared" si="1"/>
        <v>6</v>
      </c>
      <c r="AK26" s="11"/>
    </row>
    <row r="27" spans="1:37" ht="14.4" x14ac:dyDescent="0.3">
      <c r="A27" s="59">
        <v>24</v>
      </c>
      <c r="B27" s="51">
        <v>188</v>
      </c>
      <c r="C27" t="str">
        <f>_xlfn.XLOOKUP(Table62346[[#This Row],[No.]],Sheet2!$B$33:$B$507,Sheet2!$C$33:$C$507)</f>
        <v>Conor Hughes</v>
      </c>
      <c r="D27" s="52" t="str">
        <f>_xlfn.XLOOKUP(Table62346[[#This Row],[No.]],Sheet2!$B$33:$B$507,Sheet2!$G$33:$G$507)</f>
        <v>03618</v>
      </c>
      <c r="E27" s="51" t="str">
        <f>_xlfn.XLOOKUP(Table62346[[#This Row],[No.]],Sheet2!$B$33:$B$507,Sheet2!$H$33:$H$507)</f>
        <v>WP</v>
      </c>
      <c r="F27" s="30" t="s">
        <v>54</v>
      </c>
      <c r="G27" s="37">
        <v>0</v>
      </c>
      <c r="H27" s="51">
        <v>0</v>
      </c>
      <c r="I27" s="51">
        <v>3</v>
      </c>
      <c r="J27" s="51">
        <v>3</v>
      </c>
      <c r="K27" s="49">
        <f>SUM(Table62346[[#This Row],[SARMC 1]:[SARMC 4]])</f>
        <v>6</v>
      </c>
      <c r="L27" s="37">
        <v>0</v>
      </c>
      <c r="M27" s="51">
        <v>0</v>
      </c>
      <c r="N27" s="38">
        <v>0</v>
      </c>
      <c r="O27" s="37">
        <v>0</v>
      </c>
      <c r="P27" s="51">
        <v>0</v>
      </c>
      <c r="Q27" s="38">
        <v>0</v>
      </c>
      <c r="R27" s="37">
        <v>0</v>
      </c>
      <c r="S27" s="51">
        <v>0</v>
      </c>
      <c r="T27" s="38">
        <v>0</v>
      </c>
      <c r="U27" s="37">
        <v>0</v>
      </c>
      <c r="V27" s="51">
        <v>0</v>
      </c>
      <c r="W27" s="51">
        <v>0</v>
      </c>
      <c r="X27" s="38">
        <v>0</v>
      </c>
      <c r="Y27" s="37">
        <f>LARGE((Table62346[[#This Row],[K1]:[Z4]]),1)</f>
        <v>0</v>
      </c>
      <c r="Z27" s="51">
        <f>LARGE((Table62346[[#This Row],[K1]:[Z4]]),2)</f>
        <v>0</v>
      </c>
      <c r="AA27" s="51">
        <f>LARGE((Table62346[[#This Row],[K1]:[Z4]]),3)</f>
        <v>0</v>
      </c>
      <c r="AB27" s="51">
        <f>LARGE((Table62346[[#This Row],[K1]:[Z4]]),4)</f>
        <v>0</v>
      </c>
      <c r="AC27" s="51">
        <f>LARGE((Table62346[[#This Row],[K1]:[Z4]]),5)</f>
        <v>0</v>
      </c>
      <c r="AD27" s="51">
        <f>LARGE((Table62346[[#This Row],[K1]:[Z4]]),6)</f>
        <v>0</v>
      </c>
      <c r="AE27" s="51">
        <f>LARGE((Table62346[[#This Row],[K1]:[Z4]]),7)</f>
        <v>0</v>
      </c>
      <c r="AF27" s="51">
        <f>LARGE((Table62346[[#This Row],[K1]:[Z4]]),8)</f>
        <v>0</v>
      </c>
      <c r="AG27" s="51">
        <f>LARGE((Table62346[[#This Row],[K1]:[Z4]]),9)</f>
        <v>0</v>
      </c>
      <c r="AH27" s="38">
        <f>LARGE((Table62346[[#This Row],[K1]:[Z4]]),10)</f>
        <v>0</v>
      </c>
      <c r="AI27" s="45">
        <f t="shared" si="0"/>
        <v>0</v>
      </c>
      <c r="AJ27" s="37">
        <f t="shared" si="1"/>
        <v>6</v>
      </c>
      <c r="AK27" s="11"/>
    </row>
    <row r="28" spans="1:37" ht="14.4" x14ac:dyDescent="0.3">
      <c r="A28" s="59">
        <v>25</v>
      </c>
      <c r="B28" s="51">
        <v>77</v>
      </c>
      <c r="C28" t="str">
        <f>_xlfn.XLOOKUP(Table62346[[#This Row],[No.]],Sheet2!$B$33:$B$507,Sheet2!$C$33:$C$507)</f>
        <v>Jason Coetzee</v>
      </c>
      <c r="D28" s="52" t="str">
        <f>_xlfn.XLOOKUP(Table62346[[#This Row],[No.]],Sheet2!$B$33:$B$507,Sheet2!$G$33:$G$507)</f>
        <v>01445</v>
      </c>
      <c r="E28" s="51" t="str">
        <f>_xlfn.XLOOKUP(Table62346[[#This Row],[No.]],Sheet2!$B$33:$B$507,Sheet2!$H$33:$H$507)</f>
        <v>WP</v>
      </c>
      <c r="F28" s="30" t="str">
        <f>_xlfn.XLOOKUP(Table62346[[#This Row],[No.]],Sheet2!$B$33:$B$507,Sheet2!$D$33:$D$507)</f>
        <v>KR</v>
      </c>
      <c r="G28" s="37">
        <v>0</v>
      </c>
      <c r="H28" s="51">
        <v>0</v>
      </c>
      <c r="I28" s="51">
        <v>3</v>
      </c>
      <c r="J28" s="51">
        <v>3</v>
      </c>
      <c r="K28" s="49">
        <f>SUM(Table62346[[#This Row],[SARMC 1]:[SARMC 4]])</f>
        <v>6</v>
      </c>
      <c r="L28" s="37">
        <v>0</v>
      </c>
      <c r="M28" s="51">
        <v>0</v>
      </c>
      <c r="N28" s="38">
        <v>0</v>
      </c>
      <c r="O28" s="37">
        <v>0</v>
      </c>
      <c r="P28" s="51">
        <v>0</v>
      </c>
      <c r="Q28" s="38">
        <v>0</v>
      </c>
      <c r="R28" s="37">
        <v>0</v>
      </c>
      <c r="S28" s="51">
        <v>0</v>
      </c>
      <c r="T28" s="38">
        <v>0</v>
      </c>
      <c r="U28" s="37">
        <v>0</v>
      </c>
      <c r="V28" s="51">
        <v>0</v>
      </c>
      <c r="W28" s="51">
        <v>0</v>
      </c>
      <c r="X28" s="38">
        <v>0</v>
      </c>
      <c r="Y28" s="37">
        <f>LARGE((Table62346[[#This Row],[K1]:[Z4]]),1)</f>
        <v>0</v>
      </c>
      <c r="Z28" s="51">
        <f>LARGE((Table62346[[#This Row],[K1]:[Z4]]),2)</f>
        <v>0</v>
      </c>
      <c r="AA28" s="51">
        <f>LARGE((Table62346[[#This Row],[K1]:[Z4]]),3)</f>
        <v>0</v>
      </c>
      <c r="AB28" s="51">
        <f>LARGE((Table62346[[#This Row],[K1]:[Z4]]),4)</f>
        <v>0</v>
      </c>
      <c r="AC28" s="51">
        <f>LARGE((Table62346[[#This Row],[K1]:[Z4]]),5)</f>
        <v>0</v>
      </c>
      <c r="AD28" s="51">
        <f>LARGE((Table62346[[#This Row],[K1]:[Z4]]),6)</f>
        <v>0</v>
      </c>
      <c r="AE28" s="51">
        <f>LARGE((Table62346[[#This Row],[K1]:[Z4]]),7)</f>
        <v>0</v>
      </c>
      <c r="AF28" s="51">
        <f>LARGE((Table62346[[#This Row],[K1]:[Z4]]),8)</f>
        <v>0</v>
      </c>
      <c r="AG28" s="51">
        <f>LARGE((Table62346[[#This Row],[K1]:[Z4]]),9)</f>
        <v>0</v>
      </c>
      <c r="AH28" s="38">
        <f>LARGE((Table62346[[#This Row],[K1]:[Z4]]),10)</f>
        <v>0</v>
      </c>
      <c r="AI28" s="45">
        <f t="shared" si="0"/>
        <v>0</v>
      </c>
      <c r="AJ28" s="37">
        <f t="shared" si="1"/>
        <v>6</v>
      </c>
      <c r="AK28" s="11"/>
    </row>
    <row r="29" spans="1:37" ht="14.4" x14ac:dyDescent="0.3">
      <c r="A29" s="59">
        <v>26</v>
      </c>
      <c r="B29" s="51">
        <v>152</v>
      </c>
      <c r="C29" t="str">
        <f>_xlfn.XLOOKUP(Table62346[[#This Row],[No.]],Sheet2!$B$33:$B$507,Sheet2!$C$33:$C$507)</f>
        <v>Justin Allison</v>
      </c>
      <c r="D29" s="52">
        <f>_xlfn.XLOOKUP(Table62346[[#This Row],[No.]],Sheet2!$B$33:$B$507,Sheet2!$G$33:$G$507)</f>
        <v>6477</v>
      </c>
      <c r="E29" s="51" t="str">
        <f>_xlfn.XLOOKUP(Table62346[[#This Row],[No.]],Sheet2!$B$33:$B$507,Sheet2!$H$33:$H$507)</f>
        <v>NR</v>
      </c>
      <c r="F29" s="30" t="str">
        <f>_xlfn.XLOOKUP(Table62346[[#This Row],[No.]],Sheet2!$B$33:$B$507,Sheet2!$D$33:$D$507)</f>
        <v>BIRELART</v>
      </c>
      <c r="G29" s="37">
        <v>3</v>
      </c>
      <c r="H29" s="51">
        <v>0</v>
      </c>
      <c r="I29" s="51">
        <v>0</v>
      </c>
      <c r="J29" s="51">
        <v>0</v>
      </c>
      <c r="K29" s="49">
        <f>SUM(Table62346[[#This Row],[SARMC 1]:[SARMC 4]])</f>
        <v>3</v>
      </c>
      <c r="L29" s="37">
        <v>0</v>
      </c>
      <c r="M29" s="51">
        <v>0</v>
      </c>
      <c r="N29" s="38">
        <v>0</v>
      </c>
      <c r="O29" s="37">
        <v>0</v>
      </c>
      <c r="P29" s="51">
        <v>0</v>
      </c>
      <c r="Q29" s="38">
        <v>0</v>
      </c>
      <c r="R29" s="37">
        <v>0</v>
      </c>
      <c r="S29" s="51">
        <v>0</v>
      </c>
      <c r="T29" s="38">
        <v>0</v>
      </c>
      <c r="U29" s="37">
        <v>0</v>
      </c>
      <c r="V29" s="51">
        <v>0</v>
      </c>
      <c r="W29" s="51">
        <v>0</v>
      </c>
      <c r="X29" s="38">
        <v>0</v>
      </c>
      <c r="Y29" s="37">
        <f>LARGE((Table62346[[#This Row],[K1]:[Z4]]),1)</f>
        <v>0</v>
      </c>
      <c r="Z29" s="51">
        <f>LARGE((Table62346[[#This Row],[K1]:[Z4]]),2)</f>
        <v>0</v>
      </c>
      <c r="AA29" s="51">
        <f>LARGE((Table62346[[#This Row],[K1]:[Z4]]),3)</f>
        <v>0</v>
      </c>
      <c r="AB29" s="51">
        <f>LARGE((Table62346[[#This Row],[K1]:[Z4]]),4)</f>
        <v>0</v>
      </c>
      <c r="AC29" s="51">
        <f>LARGE((Table62346[[#This Row],[K1]:[Z4]]),5)</f>
        <v>0</v>
      </c>
      <c r="AD29" s="51">
        <f>LARGE((Table62346[[#This Row],[K1]:[Z4]]),6)</f>
        <v>0</v>
      </c>
      <c r="AE29" s="51">
        <f>LARGE((Table62346[[#This Row],[K1]:[Z4]]),7)</f>
        <v>0</v>
      </c>
      <c r="AF29" s="51">
        <f>LARGE((Table62346[[#This Row],[K1]:[Z4]]),8)</f>
        <v>0</v>
      </c>
      <c r="AG29" s="51">
        <f>LARGE((Table62346[[#This Row],[K1]:[Z4]]),9)</f>
        <v>0</v>
      </c>
      <c r="AH29" s="38">
        <f>LARGE((Table62346[[#This Row],[K1]:[Z4]]),10)</f>
        <v>0</v>
      </c>
      <c r="AI29" s="45">
        <f t="shared" si="0"/>
        <v>0</v>
      </c>
      <c r="AJ29" s="37">
        <f t="shared" si="1"/>
        <v>3</v>
      </c>
      <c r="AK29" s="11"/>
    </row>
    <row r="30" spans="1:37" ht="14.4" x14ac:dyDescent="0.3">
      <c r="A30" s="59">
        <v>27</v>
      </c>
      <c r="B30" s="51">
        <v>63</v>
      </c>
      <c r="C30" t="str">
        <f>_xlfn.XLOOKUP(Table62346[[#This Row],[No.]],Sheet2!$B$33:$B$507,Sheet2!$C$33:$C$507)</f>
        <v>Guido Bidoli</v>
      </c>
      <c r="D30" s="52" t="str">
        <f>_xlfn.XLOOKUP(Table62346[[#This Row],[No.]],Sheet2!$B$33:$B$507,Sheet2!$G$33:$G$507)</f>
        <v>075</v>
      </c>
      <c r="E30" s="51" t="str">
        <f>_xlfn.XLOOKUP(Table62346[[#This Row],[No.]],Sheet2!$B$33:$B$507,Sheet2!$H$33:$H$507)</f>
        <v>NAM</v>
      </c>
      <c r="F30" s="30" t="str">
        <f>_xlfn.XLOOKUP(Table62346[[#This Row],[No.]],Sheet2!$B$33:$B$507,Sheet2!$D$33:$D$507)</f>
        <v>BIRELART</v>
      </c>
      <c r="G30" s="37">
        <v>3</v>
      </c>
      <c r="H30" s="51">
        <v>0</v>
      </c>
      <c r="I30" s="51">
        <v>0</v>
      </c>
      <c r="J30" s="51">
        <v>0</v>
      </c>
      <c r="K30" s="49">
        <f>SUM(Table62346[[#This Row],[SARMC 1]:[SARMC 4]])</f>
        <v>3</v>
      </c>
      <c r="L30" s="37">
        <v>0</v>
      </c>
      <c r="M30" s="51">
        <v>0</v>
      </c>
      <c r="N30" s="38">
        <v>0</v>
      </c>
      <c r="O30" s="37">
        <v>0</v>
      </c>
      <c r="P30" s="51">
        <v>0</v>
      </c>
      <c r="Q30" s="38">
        <v>0</v>
      </c>
      <c r="R30" s="37">
        <v>0</v>
      </c>
      <c r="S30" s="51">
        <v>0</v>
      </c>
      <c r="T30" s="38">
        <v>0</v>
      </c>
      <c r="U30" s="37">
        <v>0</v>
      </c>
      <c r="V30" s="51">
        <v>0</v>
      </c>
      <c r="W30" s="51">
        <v>0</v>
      </c>
      <c r="X30" s="38">
        <v>0</v>
      </c>
      <c r="Y30" s="37">
        <f>LARGE((Table62346[[#This Row],[K1]:[Z4]]),1)</f>
        <v>0</v>
      </c>
      <c r="Z30" s="51">
        <f>LARGE((Table62346[[#This Row],[K1]:[Z4]]),2)</f>
        <v>0</v>
      </c>
      <c r="AA30" s="51">
        <f>LARGE((Table62346[[#This Row],[K1]:[Z4]]),3)</f>
        <v>0</v>
      </c>
      <c r="AB30" s="51">
        <f>LARGE((Table62346[[#This Row],[K1]:[Z4]]),4)</f>
        <v>0</v>
      </c>
      <c r="AC30" s="51">
        <f>LARGE((Table62346[[#This Row],[K1]:[Z4]]),5)</f>
        <v>0</v>
      </c>
      <c r="AD30" s="51">
        <f>LARGE((Table62346[[#This Row],[K1]:[Z4]]),6)</f>
        <v>0</v>
      </c>
      <c r="AE30" s="51">
        <f>LARGE((Table62346[[#This Row],[K1]:[Z4]]),7)</f>
        <v>0</v>
      </c>
      <c r="AF30" s="51">
        <f>LARGE((Table62346[[#This Row],[K1]:[Z4]]),8)</f>
        <v>0</v>
      </c>
      <c r="AG30" s="51">
        <f>LARGE((Table62346[[#This Row],[K1]:[Z4]]),9)</f>
        <v>0</v>
      </c>
      <c r="AH30" s="38">
        <f>LARGE((Table62346[[#This Row],[K1]:[Z4]]),10)</f>
        <v>0</v>
      </c>
      <c r="AI30" s="45">
        <f t="shared" si="0"/>
        <v>0</v>
      </c>
      <c r="AJ30" s="37">
        <f t="shared" si="1"/>
        <v>3</v>
      </c>
      <c r="AK30" s="11"/>
    </row>
    <row r="31" spans="1:37" ht="14.4" x14ac:dyDescent="0.3">
      <c r="A31" s="59">
        <v>28</v>
      </c>
      <c r="B31" s="51">
        <v>112</v>
      </c>
      <c r="C31" t="str">
        <f>_xlfn.XLOOKUP(Table62346[[#This Row],[No.]],Sheet2!$B$33:$B$507,Sheet2!$C$33:$C$507)</f>
        <v>Alistair Mingay</v>
      </c>
      <c r="D31" s="52"/>
      <c r="E31" s="51" t="str">
        <f>_xlfn.XLOOKUP(Table62346[[#This Row],[No.]],Sheet2!$B$33:$B$507,Sheet2!$H$33:$H$507)</f>
        <v>KZN</v>
      </c>
      <c r="F31" s="30" t="str">
        <f>_xlfn.XLOOKUP(Table62346[[#This Row],[No.]],Sheet2!$B$33:$B$507,Sheet2!$D$33:$D$507)</f>
        <v>TONY</v>
      </c>
      <c r="G31" s="37">
        <v>0</v>
      </c>
      <c r="H31" s="51">
        <v>0</v>
      </c>
      <c r="I31" s="51">
        <v>0</v>
      </c>
      <c r="J31" s="51">
        <v>3</v>
      </c>
      <c r="K31" s="49">
        <f>SUM(Table62346[[#This Row],[SARMC 1]:[SARMC 4]])</f>
        <v>3</v>
      </c>
      <c r="L31" s="37">
        <v>0</v>
      </c>
      <c r="M31" s="51">
        <v>0</v>
      </c>
      <c r="N31" s="38">
        <v>0</v>
      </c>
      <c r="O31" s="37">
        <v>0</v>
      </c>
      <c r="P31" s="51">
        <v>0</v>
      </c>
      <c r="Q31" s="38">
        <v>0</v>
      </c>
      <c r="R31" s="37">
        <v>0</v>
      </c>
      <c r="S31" s="51">
        <v>0</v>
      </c>
      <c r="T31" s="38">
        <v>0</v>
      </c>
      <c r="U31" s="37">
        <v>0</v>
      </c>
      <c r="V31" s="51">
        <v>0</v>
      </c>
      <c r="W31" s="51">
        <v>0</v>
      </c>
      <c r="X31" s="38">
        <v>0</v>
      </c>
      <c r="Y31" s="37">
        <f>LARGE((Table62346[[#This Row],[K1]:[Z4]]),1)</f>
        <v>0</v>
      </c>
      <c r="Z31" s="51">
        <f>LARGE((Table62346[[#This Row],[K1]:[Z4]]),2)</f>
        <v>0</v>
      </c>
      <c r="AA31" s="51">
        <f>LARGE((Table62346[[#This Row],[K1]:[Z4]]),3)</f>
        <v>0</v>
      </c>
      <c r="AB31" s="51">
        <f>LARGE((Table62346[[#This Row],[K1]:[Z4]]),4)</f>
        <v>0</v>
      </c>
      <c r="AC31" s="51">
        <f>LARGE((Table62346[[#This Row],[K1]:[Z4]]),5)</f>
        <v>0</v>
      </c>
      <c r="AD31" s="51">
        <f>LARGE((Table62346[[#This Row],[K1]:[Z4]]),6)</f>
        <v>0</v>
      </c>
      <c r="AE31" s="51">
        <f>LARGE((Table62346[[#This Row],[K1]:[Z4]]),7)</f>
        <v>0</v>
      </c>
      <c r="AF31" s="51">
        <f>LARGE((Table62346[[#This Row],[K1]:[Z4]]),8)</f>
        <v>0</v>
      </c>
      <c r="AG31" s="51">
        <f>LARGE((Table62346[[#This Row],[K1]:[Z4]]),9)</f>
        <v>0</v>
      </c>
      <c r="AH31" s="38">
        <f>LARGE((Table62346[[#This Row],[K1]:[Z4]]),10)</f>
        <v>0</v>
      </c>
      <c r="AI31" s="45">
        <f t="shared" si="0"/>
        <v>0</v>
      </c>
      <c r="AJ31" s="37">
        <f t="shared" si="1"/>
        <v>3</v>
      </c>
      <c r="AK31" s="11"/>
    </row>
    <row r="32" spans="1:37" ht="14.4" x14ac:dyDescent="0.3">
      <c r="A32" s="59">
        <v>29</v>
      </c>
      <c r="B32" s="51">
        <v>34</v>
      </c>
      <c r="C32" t="s">
        <v>489</v>
      </c>
      <c r="D32" s="52"/>
      <c r="E32" s="51" t="s">
        <v>47</v>
      </c>
      <c r="F32" s="30" t="s">
        <v>332</v>
      </c>
      <c r="G32" s="37">
        <v>0</v>
      </c>
      <c r="H32" s="51">
        <v>0</v>
      </c>
      <c r="I32" s="51">
        <v>0</v>
      </c>
      <c r="J32" s="51">
        <v>3</v>
      </c>
      <c r="K32" s="49">
        <f>SUM(Table62346[[#This Row],[SARMC 1]:[SARMC 4]])</f>
        <v>3</v>
      </c>
      <c r="L32" s="37">
        <v>0</v>
      </c>
      <c r="M32" s="51">
        <v>0</v>
      </c>
      <c r="N32" s="38">
        <v>0</v>
      </c>
      <c r="O32" s="37">
        <v>0</v>
      </c>
      <c r="P32" s="51">
        <v>0</v>
      </c>
      <c r="Q32" s="38">
        <v>0</v>
      </c>
      <c r="R32" s="37">
        <v>0</v>
      </c>
      <c r="S32" s="51">
        <v>0</v>
      </c>
      <c r="T32" s="38">
        <v>0</v>
      </c>
      <c r="U32" s="37">
        <v>0</v>
      </c>
      <c r="V32" s="51">
        <v>0</v>
      </c>
      <c r="W32" s="51">
        <v>0</v>
      </c>
      <c r="X32" s="38">
        <v>0</v>
      </c>
      <c r="Y32" s="37">
        <f>LARGE((Table62346[[#This Row],[K1]:[Z4]]),1)</f>
        <v>0</v>
      </c>
      <c r="Z32" s="51">
        <f>LARGE((Table62346[[#This Row],[K1]:[Z4]]),2)</f>
        <v>0</v>
      </c>
      <c r="AA32" s="51">
        <f>LARGE((Table62346[[#This Row],[K1]:[Z4]]),3)</f>
        <v>0</v>
      </c>
      <c r="AB32" s="51">
        <f>LARGE((Table62346[[#This Row],[K1]:[Z4]]),4)</f>
        <v>0</v>
      </c>
      <c r="AC32" s="51">
        <f>LARGE((Table62346[[#This Row],[K1]:[Z4]]),5)</f>
        <v>0</v>
      </c>
      <c r="AD32" s="51">
        <f>LARGE((Table62346[[#This Row],[K1]:[Z4]]),6)</f>
        <v>0</v>
      </c>
      <c r="AE32" s="51">
        <f>LARGE((Table62346[[#This Row],[K1]:[Z4]]),7)</f>
        <v>0</v>
      </c>
      <c r="AF32" s="51">
        <f>LARGE((Table62346[[#This Row],[K1]:[Z4]]),8)</f>
        <v>0</v>
      </c>
      <c r="AG32" s="51">
        <f>LARGE((Table62346[[#This Row],[K1]:[Z4]]),9)</f>
        <v>0</v>
      </c>
      <c r="AH32" s="38">
        <f>LARGE((Table62346[[#This Row],[K1]:[Z4]]),10)</f>
        <v>0</v>
      </c>
      <c r="AI32" s="45">
        <f t="shared" si="0"/>
        <v>0</v>
      </c>
      <c r="AJ32" s="37">
        <f t="shared" si="1"/>
        <v>3</v>
      </c>
      <c r="AK32" s="11"/>
    </row>
    <row r="33" spans="1:37" ht="14.4" x14ac:dyDescent="0.3">
      <c r="A33" s="59">
        <v>30</v>
      </c>
      <c r="B33" s="51">
        <v>67</v>
      </c>
      <c r="C33" t="s">
        <v>494</v>
      </c>
      <c r="D33" s="52"/>
      <c r="E33" s="51" t="s">
        <v>44</v>
      </c>
      <c r="F33" s="30" t="s">
        <v>53</v>
      </c>
      <c r="G33" s="37">
        <v>0</v>
      </c>
      <c r="H33" s="51">
        <v>0</v>
      </c>
      <c r="I33" s="51">
        <v>0</v>
      </c>
      <c r="J33" s="51">
        <v>3</v>
      </c>
      <c r="K33" s="49">
        <f>SUM(Table62346[[#This Row],[SARMC 1]:[SARMC 4]])</f>
        <v>3</v>
      </c>
      <c r="L33" s="37">
        <v>0</v>
      </c>
      <c r="M33" s="51">
        <v>0</v>
      </c>
      <c r="N33" s="38">
        <v>0</v>
      </c>
      <c r="O33" s="37">
        <v>0</v>
      </c>
      <c r="P33" s="51">
        <v>0</v>
      </c>
      <c r="Q33" s="38">
        <v>0</v>
      </c>
      <c r="R33" s="37">
        <v>0</v>
      </c>
      <c r="S33" s="51">
        <v>0</v>
      </c>
      <c r="T33" s="38">
        <v>0</v>
      </c>
      <c r="U33" s="37">
        <v>0</v>
      </c>
      <c r="V33" s="51">
        <v>0</v>
      </c>
      <c r="W33" s="51">
        <v>0</v>
      </c>
      <c r="X33" s="38">
        <v>0</v>
      </c>
      <c r="Y33" s="37">
        <f>LARGE((Table62346[[#This Row],[K1]:[Z4]]),1)</f>
        <v>0</v>
      </c>
      <c r="Z33" s="51">
        <f>LARGE((Table62346[[#This Row],[K1]:[Z4]]),2)</f>
        <v>0</v>
      </c>
      <c r="AA33" s="51">
        <f>LARGE((Table62346[[#This Row],[K1]:[Z4]]),3)</f>
        <v>0</v>
      </c>
      <c r="AB33" s="51">
        <f>LARGE((Table62346[[#This Row],[K1]:[Z4]]),4)</f>
        <v>0</v>
      </c>
      <c r="AC33" s="51">
        <f>LARGE((Table62346[[#This Row],[K1]:[Z4]]),5)</f>
        <v>0</v>
      </c>
      <c r="AD33" s="51">
        <f>LARGE((Table62346[[#This Row],[K1]:[Z4]]),6)</f>
        <v>0</v>
      </c>
      <c r="AE33" s="51">
        <f>LARGE((Table62346[[#This Row],[K1]:[Z4]]),7)</f>
        <v>0</v>
      </c>
      <c r="AF33" s="51">
        <f>LARGE((Table62346[[#This Row],[K1]:[Z4]]),8)</f>
        <v>0</v>
      </c>
      <c r="AG33" s="51">
        <f>LARGE((Table62346[[#This Row],[K1]:[Z4]]),9)</f>
        <v>0</v>
      </c>
      <c r="AH33" s="38">
        <f>LARGE((Table62346[[#This Row],[K1]:[Z4]]),10)</f>
        <v>0</v>
      </c>
      <c r="AI33" s="45">
        <f t="shared" si="0"/>
        <v>0</v>
      </c>
      <c r="AJ33" s="37">
        <f t="shared" si="1"/>
        <v>3</v>
      </c>
      <c r="AK33" s="11"/>
    </row>
    <row r="34" spans="1:37" ht="14.4" x14ac:dyDescent="0.3">
      <c r="A34" s="59">
        <v>31</v>
      </c>
      <c r="B34" s="51">
        <v>35</v>
      </c>
      <c r="C34" t="str">
        <f>_xlfn.XLOOKUP(Table62346[[#This Row],[No.]],Sheet2!$B$33:$B$507,Sheet2!$C$33:$C$507)</f>
        <v>Dylan Rogers</v>
      </c>
      <c r="D34" s="52"/>
      <c r="E34" s="51" t="str">
        <f>_xlfn.XLOOKUP(Table62346[[#This Row],[No.]],Sheet2!$B$33:$B$507,Sheet2!$H$33:$H$507)</f>
        <v>WP</v>
      </c>
      <c r="F34" s="30" t="str">
        <f>_xlfn.XLOOKUP(Table62346[[#This Row],[No.]],Sheet2!$B$33:$B$507,Sheet2!$D$33:$D$507)</f>
        <v>FK</v>
      </c>
      <c r="G34" s="37">
        <v>0</v>
      </c>
      <c r="H34" s="51">
        <v>0</v>
      </c>
      <c r="I34" s="51">
        <v>0</v>
      </c>
      <c r="J34" s="51">
        <v>3</v>
      </c>
      <c r="K34" s="49">
        <f>SUM(Table62346[[#This Row],[SARMC 1]:[SARMC 4]])</f>
        <v>3</v>
      </c>
      <c r="L34" s="37">
        <v>0</v>
      </c>
      <c r="M34" s="51">
        <v>0</v>
      </c>
      <c r="N34" s="38">
        <v>0</v>
      </c>
      <c r="O34" s="37">
        <v>0</v>
      </c>
      <c r="P34" s="51">
        <v>0</v>
      </c>
      <c r="Q34" s="38">
        <v>0</v>
      </c>
      <c r="R34" s="37">
        <v>0</v>
      </c>
      <c r="S34" s="51">
        <v>0</v>
      </c>
      <c r="T34" s="38">
        <v>0</v>
      </c>
      <c r="U34" s="37">
        <v>0</v>
      </c>
      <c r="V34" s="51">
        <v>0</v>
      </c>
      <c r="W34" s="51">
        <v>0</v>
      </c>
      <c r="X34" s="38">
        <v>0</v>
      </c>
      <c r="Y34" s="37">
        <f>LARGE((Table62346[[#This Row],[K1]:[Z4]]),1)</f>
        <v>0</v>
      </c>
      <c r="Z34" s="51">
        <f>LARGE((Table62346[[#This Row],[K1]:[Z4]]),2)</f>
        <v>0</v>
      </c>
      <c r="AA34" s="51">
        <f>LARGE((Table62346[[#This Row],[K1]:[Z4]]),3)</f>
        <v>0</v>
      </c>
      <c r="AB34" s="51">
        <f>LARGE((Table62346[[#This Row],[K1]:[Z4]]),4)</f>
        <v>0</v>
      </c>
      <c r="AC34" s="51">
        <f>LARGE((Table62346[[#This Row],[K1]:[Z4]]),5)</f>
        <v>0</v>
      </c>
      <c r="AD34" s="51">
        <f>LARGE((Table62346[[#This Row],[K1]:[Z4]]),6)</f>
        <v>0</v>
      </c>
      <c r="AE34" s="51">
        <f>LARGE((Table62346[[#This Row],[K1]:[Z4]]),7)</f>
        <v>0</v>
      </c>
      <c r="AF34" s="51">
        <f>LARGE((Table62346[[#This Row],[K1]:[Z4]]),8)</f>
        <v>0</v>
      </c>
      <c r="AG34" s="51">
        <f>LARGE((Table62346[[#This Row],[K1]:[Z4]]),9)</f>
        <v>0</v>
      </c>
      <c r="AH34" s="38">
        <f>LARGE((Table62346[[#This Row],[K1]:[Z4]]),10)</f>
        <v>0</v>
      </c>
      <c r="AI34" s="45">
        <f t="shared" si="0"/>
        <v>0</v>
      </c>
      <c r="AJ34" s="37">
        <f t="shared" si="1"/>
        <v>3</v>
      </c>
      <c r="AK34" s="11"/>
    </row>
    <row r="35" spans="1:37" ht="14.4" x14ac:dyDescent="0.3">
      <c r="A35" s="59">
        <v>32</v>
      </c>
      <c r="B35" s="51">
        <v>116</v>
      </c>
      <c r="C35" t="str">
        <f>_xlfn.XLOOKUP(Table62346[[#This Row],[No.]],Sheet2!$B$33:$B$507,Sheet2!$C$33:$C$507)</f>
        <v>Neville Chapman</v>
      </c>
      <c r="D35" s="52">
        <f>_xlfn.XLOOKUP(Table62346[[#This Row],[No.]],Sheet2!$B$33:$B$507,Sheet2!$G$33:$G$507)</f>
        <v>27116</v>
      </c>
      <c r="E35" s="51" t="str">
        <f>_xlfn.XLOOKUP(Table62346[[#This Row],[No.]],Sheet2!$B$33:$B$507,Sheet2!$H$33:$H$507)</f>
        <v>WP</v>
      </c>
      <c r="F35" s="30" t="str">
        <f>_xlfn.XLOOKUP(Table62346[[#This Row],[No.]],Sheet2!$B$33:$B$507,Sheet2!$D$33:$D$507)</f>
        <v>BIRELART</v>
      </c>
      <c r="G35" s="37">
        <v>0</v>
      </c>
      <c r="H35" s="51">
        <v>0</v>
      </c>
      <c r="I35" s="51">
        <v>0</v>
      </c>
      <c r="J35" s="51">
        <v>3</v>
      </c>
      <c r="K35" s="49">
        <f>SUM(Table62346[[#This Row],[SARMC 1]:[SARMC 4]])</f>
        <v>3</v>
      </c>
      <c r="L35" s="37">
        <v>0</v>
      </c>
      <c r="M35" s="51">
        <v>0</v>
      </c>
      <c r="N35" s="38">
        <v>0</v>
      </c>
      <c r="O35" s="37">
        <v>0</v>
      </c>
      <c r="P35" s="51">
        <v>0</v>
      </c>
      <c r="Q35" s="38">
        <v>0</v>
      </c>
      <c r="R35" s="37">
        <v>0</v>
      </c>
      <c r="S35" s="51">
        <v>0</v>
      </c>
      <c r="T35" s="38">
        <v>0</v>
      </c>
      <c r="U35" s="37">
        <v>0</v>
      </c>
      <c r="V35" s="51">
        <v>0</v>
      </c>
      <c r="W35" s="51">
        <v>0</v>
      </c>
      <c r="X35" s="38">
        <v>0</v>
      </c>
      <c r="Y35" s="37">
        <f>LARGE((Table62346[[#This Row],[K1]:[Z4]]),1)</f>
        <v>0</v>
      </c>
      <c r="Z35" s="51">
        <f>LARGE((Table62346[[#This Row],[K1]:[Z4]]),2)</f>
        <v>0</v>
      </c>
      <c r="AA35" s="51">
        <f>LARGE((Table62346[[#This Row],[K1]:[Z4]]),3)</f>
        <v>0</v>
      </c>
      <c r="AB35" s="51">
        <f>LARGE((Table62346[[#This Row],[K1]:[Z4]]),4)</f>
        <v>0</v>
      </c>
      <c r="AC35" s="51">
        <f>LARGE((Table62346[[#This Row],[K1]:[Z4]]),5)</f>
        <v>0</v>
      </c>
      <c r="AD35" s="51">
        <f>LARGE((Table62346[[#This Row],[K1]:[Z4]]),6)</f>
        <v>0</v>
      </c>
      <c r="AE35" s="51">
        <f>LARGE((Table62346[[#This Row],[K1]:[Z4]]),7)</f>
        <v>0</v>
      </c>
      <c r="AF35" s="51">
        <f>LARGE((Table62346[[#This Row],[K1]:[Z4]]),8)</f>
        <v>0</v>
      </c>
      <c r="AG35" s="51">
        <f>LARGE((Table62346[[#This Row],[K1]:[Z4]]),9)</f>
        <v>0</v>
      </c>
      <c r="AH35" s="38">
        <f>LARGE((Table62346[[#This Row],[K1]:[Z4]]),10)</f>
        <v>0</v>
      </c>
      <c r="AI35" s="45">
        <f t="shared" si="0"/>
        <v>0</v>
      </c>
      <c r="AJ35" s="37">
        <f t="shared" si="1"/>
        <v>3</v>
      </c>
      <c r="AK35" s="11"/>
    </row>
    <row r="36" spans="1:37" ht="14.4" x14ac:dyDescent="0.3">
      <c r="A36" s="59">
        <v>33</v>
      </c>
      <c r="B36" s="51">
        <v>177</v>
      </c>
      <c r="C36" t="str">
        <f>_xlfn.XLOOKUP(Table62346[[#This Row],[No.]],Sheet2!$B$33:$B$507,Sheet2!$C$33:$C$507)</f>
        <v>Jared Jordan</v>
      </c>
      <c r="D36" s="52">
        <f>_xlfn.XLOOKUP(Table62346[[#This Row],[No.]],Sheet2!$B$33:$B$507,Sheet2!$G$33:$G$507)</f>
        <v>12400</v>
      </c>
      <c r="E36" s="51" t="str">
        <f>_xlfn.XLOOKUP(Table62346[[#This Row],[No.]],Sheet2!$B$33:$B$507,Sheet2!$H$33:$H$507)</f>
        <v>WP</v>
      </c>
      <c r="F36" s="30" t="str">
        <f>_xlfn.XLOOKUP(Table62346[[#This Row],[No.]],Sheet2!$B$33:$B$507,Sheet2!$D$33:$D$507)</f>
        <v>BIRELART</v>
      </c>
      <c r="G36" s="37">
        <v>0</v>
      </c>
      <c r="H36" s="51">
        <v>0</v>
      </c>
      <c r="I36" s="51">
        <v>3</v>
      </c>
      <c r="J36" s="51">
        <v>0</v>
      </c>
      <c r="K36" s="49">
        <f>SUM(Table62346[[#This Row],[SARMC 1]:[SARMC 4]])</f>
        <v>3</v>
      </c>
      <c r="L36" s="37">
        <v>0</v>
      </c>
      <c r="M36" s="51">
        <v>0</v>
      </c>
      <c r="N36" s="38">
        <v>0</v>
      </c>
      <c r="O36" s="37">
        <v>0</v>
      </c>
      <c r="P36" s="51">
        <v>0</v>
      </c>
      <c r="Q36" s="38">
        <v>0</v>
      </c>
      <c r="R36" s="37">
        <v>0</v>
      </c>
      <c r="S36" s="51">
        <v>0</v>
      </c>
      <c r="T36" s="38">
        <v>0</v>
      </c>
      <c r="U36" s="37">
        <v>0</v>
      </c>
      <c r="V36" s="51">
        <v>0</v>
      </c>
      <c r="W36" s="51">
        <v>0</v>
      </c>
      <c r="X36" s="38">
        <v>0</v>
      </c>
      <c r="Y36" s="37">
        <f>LARGE((Table62346[[#This Row],[K1]:[Z4]]),1)</f>
        <v>0</v>
      </c>
      <c r="Z36" s="51">
        <f>LARGE((Table62346[[#This Row],[K1]:[Z4]]),2)</f>
        <v>0</v>
      </c>
      <c r="AA36" s="51">
        <f>LARGE((Table62346[[#This Row],[K1]:[Z4]]),3)</f>
        <v>0</v>
      </c>
      <c r="AB36" s="51">
        <f>LARGE((Table62346[[#This Row],[K1]:[Z4]]),4)</f>
        <v>0</v>
      </c>
      <c r="AC36" s="51">
        <f>LARGE((Table62346[[#This Row],[K1]:[Z4]]),5)</f>
        <v>0</v>
      </c>
      <c r="AD36" s="51">
        <f>LARGE((Table62346[[#This Row],[K1]:[Z4]]),6)</f>
        <v>0</v>
      </c>
      <c r="AE36" s="51">
        <f>LARGE((Table62346[[#This Row],[K1]:[Z4]]),7)</f>
        <v>0</v>
      </c>
      <c r="AF36" s="51">
        <f>LARGE((Table62346[[#This Row],[K1]:[Z4]]),8)</f>
        <v>0</v>
      </c>
      <c r="AG36" s="51">
        <f>LARGE((Table62346[[#This Row],[K1]:[Z4]]),9)</f>
        <v>0</v>
      </c>
      <c r="AH36" s="38">
        <f>LARGE((Table62346[[#This Row],[K1]:[Z4]]),10)</f>
        <v>0</v>
      </c>
      <c r="AI36" s="45">
        <f t="shared" si="0"/>
        <v>0</v>
      </c>
      <c r="AJ36" s="37">
        <f t="shared" si="1"/>
        <v>3</v>
      </c>
      <c r="AK36" s="11"/>
    </row>
    <row r="37" spans="1:37" ht="14.4" x14ac:dyDescent="0.3">
      <c r="A37" s="59">
        <v>34</v>
      </c>
      <c r="B37" s="51">
        <v>135</v>
      </c>
      <c r="C37" t="str">
        <f>_xlfn.XLOOKUP(Table62346[[#This Row],[No.]],Sheet2!$B$33:$B$507,Sheet2!$C$33:$C$507)</f>
        <v>Justin Rogers</v>
      </c>
      <c r="D37" s="52">
        <f>_xlfn.XLOOKUP(Table62346[[#This Row],[No.]],Sheet2!$B$33:$B$507,Sheet2!$G$33:$G$507)</f>
        <v>29020</v>
      </c>
      <c r="E37" s="51" t="s">
        <v>44</v>
      </c>
      <c r="F37" s="30" t="str">
        <f>_xlfn.XLOOKUP(Table62346[[#This Row],[No.]],Sheet2!$B$33:$B$507,Sheet2!$D$33:$D$507)</f>
        <v>BIRELART</v>
      </c>
      <c r="G37" s="37">
        <v>0</v>
      </c>
      <c r="H37" s="51">
        <v>0</v>
      </c>
      <c r="I37" s="51">
        <v>3</v>
      </c>
      <c r="J37" s="51">
        <v>0</v>
      </c>
      <c r="K37" s="49">
        <f>SUM(Table62346[[#This Row],[SARMC 1]:[SARMC 4]])</f>
        <v>3</v>
      </c>
      <c r="L37" s="37">
        <v>0</v>
      </c>
      <c r="M37" s="51">
        <v>0</v>
      </c>
      <c r="N37" s="38">
        <v>0</v>
      </c>
      <c r="O37" s="37">
        <v>0</v>
      </c>
      <c r="P37" s="51">
        <v>0</v>
      </c>
      <c r="Q37" s="38">
        <v>0</v>
      </c>
      <c r="R37" s="37">
        <v>0</v>
      </c>
      <c r="S37" s="51">
        <v>0</v>
      </c>
      <c r="T37" s="38">
        <v>0</v>
      </c>
      <c r="U37" s="37">
        <v>0</v>
      </c>
      <c r="V37" s="51">
        <v>0</v>
      </c>
      <c r="W37" s="51">
        <v>0</v>
      </c>
      <c r="X37" s="38">
        <v>0</v>
      </c>
      <c r="Y37" s="37">
        <f>LARGE((Table62346[[#This Row],[K1]:[Z4]]),1)</f>
        <v>0</v>
      </c>
      <c r="Z37" s="51">
        <f>LARGE((Table62346[[#This Row],[K1]:[Z4]]),2)</f>
        <v>0</v>
      </c>
      <c r="AA37" s="51">
        <f>LARGE((Table62346[[#This Row],[K1]:[Z4]]),3)</f>
        <v>0</v>
      </c>
      <c r="AB37" s="51">
        <f>LARGE((Table62346[[#This Row],[K1]:[Z4]]),4)</f>
        <v>0</v>
      </c>
      <c r="AC37" s="51">
        <f>LARGE((Table62346[[#This Row],[K1]:[Z4]]),5)</f>
        <v>0</v>
      </c>
      <c r="AD37" s="51">
        <f>LARGE((Table62346[[#This Row],[K1]:[Z4]]),6)</f>
        <v>0</v>
      </c>
      <c r="AE37" s="51">
        <f>LARGE((Table62346[[#This Row],[K1]:[Z4]]),7)</f>
        <v>0</v>
      </c>
      <c r="AF37" s="51">
        <f>LARGE((Table62346[[#This Row],[K1]:[Z4]]),8)</f>
        <v>0</v>
      </c>
      <c r="AG37" s="51">
        <f>LARGE((Table62346[[#This Row],[K1]:[Z4]]),9)</f>
        <v>0</v>
      </c>
      <c r="AH37" s="38">
        <f>LARGE((Table62346[[#This Row],[K1]:[Z4]]),10)</f>
        <v>0</v>
      </c>
      <c r="AI37" s="45">
        <f t="shared" si="0"/>
        <v>0</v>
      </c>
      <c r="AJ37" s="37">
        <f t="shared" si="1"/>
        <v>3</v>
      </c>
      <c r="AK37" s="11"/>
    </row>
    <row r="38" spans="1:37" ht="14.4" x14ac:dyDescent="0.3">
      <c r="A38" s="59">
        <v>35</v>
      </c>
      <c r="B38" s="51">
        <v>43</v>
      </c>
      <c r="C38" t="str">
        <f>_xlfn.XLOOKUP(Table62346[[#This Row],[No.]],Sheet2!$B$33:$B$507,Sheet2!$C$33:$C$507)</f>
        <v>Brandon Smith</v>
      </c>
      <c r="D38" s="52">
        <f>_xlfn.XLOOKUP(Table62346[[#This Row],[No.]],Sheet2!$B$33:$B$507,Sheet2!$G$33:$G$507)</f>
        <v>2094</v>
      </c>
      <c r="E38" s="51" t="str">
        <f>_xlfn.XLOOKUP(Table62346[[#This Row],[No.]],Sheet2!$B$33:$B$507,Sheet2!$H$33:$H$507)</f>
        <v>NR</v>
      </c>
      <c r="F38" s="30" t="str">
        <f>_xlfn.XLOOKUP(Table62346[[#This Row],[No.]],Sheet2!$B$33:$B$507,Sheet2!$D$33:$D$507)</f>
        <v>BIRELART</v>
      </c>
      <c r="G38" s="37">
        <v>2</v>
      </c>
      <c r="H38" s="51">
        <v>0</v>
      </c>
      <c r="I38" s="51">
        <v>0</v>
      </c>
      <c r="J38" s="51">
        <v>0</v>
      </c>
      <c r="K38" s="49">
        <f>SUM(Table62346[[#This Row],[SARMC 1]:[SARMC 4]])</f>
        <v>2</v>
      </c>
      <c r="L38" s="37">
        <v>0</v>
      </c>
      <c r="M38" s="51">
        <v>0</v>
      </c>
      <c r="N38" s="38">
        <v>0</v>
      </c>
      <c r="O38" s="37">
        <v>0</v>
      </c>
      <c r="P38" s="51">
        <v>0</v>
      </c>
      <c r="Q38" s="38">
        <v>0</v>
      </c>
      <c r="R38" s="37">
        <v>0</v>
      </c>
      <c r="S38" s="51">
        <v>0</v>
      </c>
      <c r="T38" s="38">
        <v>0</v>
      </c>
      <c r="U38" s="37">
        <v>0</v>
      </c>
      <c r="V38" s="51">
        <v>0</v>
      </c>
      <c r="W38" s="51">
        <v>0</v>
      </c>
      <c r="X38" s="38">
        <v>0</v>
      </c>
      <c r="Y38" s="37">
        <f>LARGE((Table62346[[#This Row],[K1]:[Z4]]),1)</f>
        <v>0</v>
      </c>
      <c r="Z38" s="51">
        <f>LARGE((Table62346[[#This Row],[K1]:[Z4]]),2)</f>
        <v>0</v>
      </c>
      <c r="AA38" s="51">
        <f>LARGE((Table62346[[#This Row],[K1]:[Z4]]),3)</f>
        <v>0</v>
      </c>
      <c r="AB38" s="51">
        <f>LARGE((Table62346[[#This Row],[K1]:[Z4]]),4)</f>
        <v>0</v>
      </c>
      <c r="AC38" s="51">
        <f>LARGE((Table62346[[#This Row],[K1]:[Z4]]),5)</f>
        <v>0</v>
      </c>
      <c r="AD38" s="51">
        <f>LARGE((Table62346[[#This Row],[K1]:[Z4]]),6)</f>
        <v>0</v>
      </c>
      <c r="AE38" s="51">
        <f>LARGE((Table62346[[#This Row],[K1]:[Z4]]),7)</f>
        <v>0</v>
      </c>
      <c r="AF38" s="51">
        <f>LARGE((Table62346[[#This Row],[K1]:[Z4]]),8)</f>
        <v>0</v>
      </c>
      <c r="AG38" s="51">
        <f>LARGE((Table62346[[#This Row],[K1]:[Z4]]),9)</f>
        <v>0</v>
      </c>
      <c r="AH38" s="38">
        <f>LARGE((Table62346[[#This Row],[K1]:[Z4]]),10)</f>
        <v>0</v>
      </c>
      <c r="AI38" s="45">
        <f t="shared" si="0"/>
        <v>0</v>
      </c>
      <c r="AJ38" s="37">
        <f t="shared" si="1"/>
        <v>2</v>
      </c>
      <c r="AK38" s="11"/>
    </row>
    <row r="39" spans="1:37" ht="14.4" x14ac:dyDescent="0.3">
      <c r="A39" s="59">
        <v>36</v>
      </c>
      <c r="B39" s="51">
        <v>142</v>
      </c>
      <c r="C39" t="s">
        <v>492</v>
      </c>
      <c r="D39" s="52"/>
      <c r="E39" s="51" t="str">
        <f>_xlfn.XLOOKUP(Table62346[[#This Row],[No.]],Sheet2!$B$33:$B$507,Sheet2!$H$33:$H$507)</f>
        <v>KZN</v>
      </c>
      <c r="F39" s="30" t="str">
        <f>_xlfn.XLOOKUP(Table62346[[#This Row],[No.]],Sheet2!$B$33:$B$507,Sheet2!$D$33:$D$507)</f>
        <v>BIRELART</v>
      </c>
      <c r="G39" s="37">
        <v>0</v>
      </c>
      <c r="H39" s="51">
        <v>0</v>
      </c>
      <c r="I39" s="51">
        <v>0</v>
      </c>
      <c r="J39" s="51">
        <v>0</v>
      </c>
      <c r="K39" s="49">
        <f>SUM(Table62346[[#This Row],[SARMC 1]:[SARMC 4]])</f>
        <v>0</v>
      </c>
      <c r="L39" s="37">
        <v>0</v>
      </c>
      <c r="M39" s="51">
        <v>0</v>
      </c>
      <c r="N39" s="38">
        <v>0</v>
      </c>
      <c r="O39" s="37">
        <v>0</v>
      </c>
      <c r="P39" s="51">
        <v>0</v>
      </c>
      <c r="Q39" s="38">
        <v>0</v>
      </c>
      <c r="R39" s="37">
        <v>0</v>
      </c>
      <c r="S39" s="51">
        <v>0</v>
      </c>
      <c r="T39" s="38">
        <v>0</v>
      </c>
      <c r="U39" s="37">
        <v>0</v>
      </c>
      <c r="V39" s="51">
        <v>0</v>
      </c>
      <c r="W39" s="51">
        <v>0</v>
      </c>
      <c r="X39" s="38">
        <v>0</v>
      </c>
      <c r="Y39" s="37">
        <f>LARGE((Table62346[[#This Row],[K1]:[Z4]]),1)</f>
        <v>0</v>
      </c>
      <c r="Z39" s="51">
        <f>LARGE((Table62346[[#This Row],[K1]:[Z4]]),2)</f>
        <v>0</v>
      </c>
      <c r="AA39" s="51">
        <f>LARGE((Table62346[[#This Row],[K1]:[Z4]]),3)</f>
        <v>0</v>
      </c>
      <c r="AB39" s="51">
        <f>LARGE((Table62346[[#This Row],[K1]:[Z4]]),4)</f>
        <v>0</v>
      </c>
      <c r="AC39" s="51">
        <f>LARGE((Table62346[[#This Row],[K1]:[Z4]]),5)</f>
        <v>0</v>
      </c>
      <c r="AD39" s="51">
        <f>LARGE((Table62346[[#This Row],[K1]:[Z4]]),6)</f>
        <v>0</v>
      </c>
      <c r="AE39" s="51">
        <f>LARGE((Table62346[[#This Row],[K1]:[Z4]]),7)</f>
        <v>0</v>
      </c>
      <c r="AF39" s="51">
        <f>LARGE((Table62346[[#This Row],[K1]:[Z4]]),8)</f>
        <v>0</v>
      </c>
      <c r="AG39" s="51">
        <f>LARGE((Table62346[[#This Row],[K1]:[Z4]]),9)</f>
        <v>0</v>
      </c>
      <c r="AH39" s="38">
        <f>LARGE((Table62346[[#This Row],[K1]:[Z4]]),10)</f>
        <v>0</v>
      </c>
      <c r="AI39" s="45">
        <f t="shared" si="0"/>
        <v>0</v>
      </c>
      <c r="AJ39" s="37">
        <f t="shared" si="1"/>
        <v>0</v>
      </c>
      <c r="AK39" s="11"/>
    </row>
    <row r="40" spans="1:37" ht="14.4" x14ac:dyDescent="0.3">
      <c r="A40" s="59">
        <v>37</v>
      </c>
      <c r="B40" s="51">
        <v>111</v>
      </c>
      <c r="C40" t="str">
        <f>_xlfn.XLOOKUP(Table62346[[#This Row],[No.]],Sheet2!$B$33:$B$507,Sheet2!$C$33:$C$507)</f>
        <v>Jimmy Auby</v>
      </c>
      <c r="D40" s="52">
        <f>_xlfn.XLOOKUP(Table62346[[#This Row],[No.]],Sheet2!$B$33:$B$507,Sheet2!$G$33:$G$507)</f>
        <v>6259</v>
      </c>
      <c r="E40" s="51" t="str">
        <f>_xlfn.XLOOKUP(Table62346[[#This Row],[No.]],Sheet2!$B$33:$B$507,Sheet2!$H$33:$H$507)</f>
        <v>WP</v>
      </c>
      <c r="F40" s="30" t="str">
        <f>_xlfn.XLOOKUP(Table62346[[#This Row],[No.]],Sheet2!$B$33:$B$507,Sheet2!$D$33:$D$507)</f>
        <v>BIRELART</v>
      </c>
      <c r="G40" s="37">
        <v>0</v>
      </c>
      <c r="H40" s="51">
        <v>0</v>
      </c>
      <c r="I40" s="51">
        <v>0</v>
      </c>
      <c r="J40" s="51">
        <v>0</v>
      </c>
      <c r="K40" s="49">
        <f>SUM(Table62346[[#This Row],[SARMC 1]:[SARMC 4]])</f>
        <v>0</v>
      </c>
      <c r="L40" s="37">
        <v>0</v>
      </c>
      <c r="M40" s="51">
        <v>0</v>
      </c>
      <c r="N40" s="38">
        <v>0</v>
      </c>
      <c r="O40" s="37">
        <v>0</v>
      </c>
      <c r="P40" s="51">
        <v>0</v>
      </c>
      <c r="Q40" s="38">
        <v>0</v>
      </c>
      <c r="R40" s="37">
        <v>0</v>
      </c>
      <c r="S40" s="51">
        <v>0</v>
      </c>
      <c r="T40" s="38">
        <v>0</v>
      </c>
      <c r="U40" s="37">
        <v>0</v>
      </c>
      <c r="V40" s="51">
        <v>0</v>
      </c>
      <c r="W40" s="51">
        <v>0</v>
      </c>
      <c r="X40" s="38">
        <v>0</v>
      </c>
      <c r="Y40" s="37">
        <f>LARGE((Table62346[[#This Row],[K1]:[Z4]]),1)</f>
        <v>0</v>
      </c>
      <c r="Z40" s="51">
        <f>LARGE((Table62346[[#This Row],[K1]:[Z4]]),2)</f>
        <v>0</v>
      </c>
      <c r="AA40" s="51">
        <f>LARGE((Table62346[[#This Row],[K1]:[Z4]]),3)</f>
        <v>0</v>
      </c>
      <c r="AB40" s="51">
        <f>LARGE((Table62346[[#This Row],[K1]:[Z4]]),4)</f>
        <v>0</v>
      </c>
      <c r="AC40" s="51">
        <f>LARGE((Table62346[[#This Row],[K1]:[Z4]]),5)</f>
        <v>0</v>
      </c>
      <c r="AD40" s="51">
        <f>LARGE((Table62346[[#This Row],[K1]:[Z4]]),6)</f>
        <v>0</v>
      </c>
      <c r="AE40" s="51">
        <f>LARGE((Table62346[[#This Row],[K1]:[Z4]]),7)</f>
        <v>0</v>
      </c>
      <c r="AF40" s="51">
        <f>LARGE((Table62346[[#This Row],[K1]:[Z4]]),8)</f>
        <v>0</v>
      </c>
      <c r="AG40" s="51">
        <f>LARGE((Table62346[[#This Row],[K1]:[Z4]]),9)</f>
        <v>0</v>
      </c>
      <c r="AH40" s="38">
        <f>LARGE((Table62346[[#This Row],[K1]:[Z4]]),10)</f>
        <v>0</v>
      </c>
      <c r="AI40" s="45">
        <f t="shared" si="0"/>
        <v>0</v>
      </c>
      <c r="AJ40" s="37">
        <f t="shared" si="1"/>
        <v>0</v>
      </c>
      <c r="AK40" s="11"/>
    </row>
    <row r="41" spans="1:37" x14ac:dyDescent="0.25">
      <c r="A41" s="22"/>
      <c r="B41" s="23"/>
      <c r="C41" s="24" t="s">
        <v>45</v>
      </c>
      <c r="D41" s="31"/>
      <c r="E41" s="25"/>
      <c r="F41" s="32"/>
      <c r="G41" s="23"/>
      <c r="H41" s="23"/>
      <c r="I41" s="23"/>
      <c r="J41" s="23"/>
      <c r="K41" s="27"/>
      <c r="L41" s="22"/>
      <c r="M41" s="22">
        <f>(COUNTIF(L4:L40,"&gt;0"))</f>
        <v>10</v>
      </c>
      <c r="N41" s="22"/>
      <c r="O41" s="22"/>
      <c r="P41" s="22">
        <f>(COUNTIF(O4:O40,"&gt;0"))</f>
        <v>12</v>
      </c>
      <c r="Q41" s="22"/>
      <c r="R41" s="22"/>
      <c r="S41" s="22">
        <f>(COUNTIF(R4:R40,"&gt;0"))</f>
        <v>12</v>
      </c>
      <c r="T41" s="22"/>
      <c r="U41" s="23"/>
      <c r="V41" s="22">
        <f>(COUNTIF(U4:U40,"&gt;0"))</f>
        <v>8</v>
      </c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6"/>
      <c r="AJ41" s="27"/>
    </row>
    <row r="42" spans="1:37" x14ac:dyDescent="0.25">
      <c r="D42" s="33"/>
    </row>
  </sheetData>
  <sortState xmlns:xlrd2="http://schemas.microsoft.com/office/spreadsheetml/2017/richdata2" ref="B4:AY46">
    <sortCondition descending="1" ref="AY4:AY46"/>
    <sortCondition descending="1" ref="E4:E46"/>
    <sortCondition ref="B4:B46"/>
  </sortState>
  <mergeCells count="8">
    <mergeCell ref="A2:F2"/>
    <mergeCell ref="A1:AJ1"/>
    <mergeCell ref="G2:K2"/>
    <mergeCell ref="L2:N2"/>
    <mergeCell ref="O2:Q2"/>
    <mergeCell ref="R2:T2"/>
    <mergeCell ref="U2:X2"/>
    <mergeCell ref="Y2:AH2"/>
  </mergeCells>
  <conditionalFormatting sqref="B1">
    <cfRule type="duplicateValues" dxfId="37" priority="2"/>
    <cfRule type="duplicateValues" dxfId="36" priority="3"/>
    <cfRule type="duplicateValues" dxfId="35" priority="4"/>
  </conditionalFormatting>
  <conditionalFormatting sqref="B1:B1048576">
    <cfRule type="duplicateValues" dxfId="34" priority="1"/>
  </conditionalFormatting>
  <conditionalFormatting sqref="B4">
    <cfRule type="duplicateValues" dxfId="33" priority="5"/>
  </conditionalFormatting>
  <pageMargins left="0.23622047244094491" right="0.23622047244094491" top="0.31496062992125984" bottom="0.31496062992125984" header="0.31496062992125984" footer="0.31496062992125984"/>
  <pageSetup paperSize="9" scale="75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K40"/>
  <sheetViews>
    <sheetView zoomScaleNormal="100" workbookViewId="0">
      <pane xSplit="6" ySplit="2" topLeftCell="G3" activePane="bottomRight" state="frozen"/>
      <selection pane="topRight" activeCell="E1" sqref="E1"/>
      <selection pane="bottomLeft" activeCell="A3" sqref="A3"/>
      <selection pane="bottomRight" sqref="A1:AJ1"/>
    </sheetView>
  </sheetViews>
  <sheetFormatPr defaultColWidth="3.6640625" defaultRowHeight="13.8" x14ac:dyDescent="0.25"/>
  <cols>
    <col min="1" max="1" width="5" style="12" bestFit="1" customWidth="1"/>
    <col min="2" max="2" width="4.44140625" style="10" bestFit="1" customWidth="1"/>
    <col min="3" max="3" width="28.6640625" style="10" bestFit="1" customWidth="1"/>
    <col min="4" max="4" width="10.6640625" style="34" bestFit="1" customWidth="1"/>
    <col min="5" max="5" width="8.33203125" style="12" bestFit="1" customWidth="1"/>
    <col min="6" max="6" width="12.6640625" style="34" bestFit="1" customWidth="1"/>
    <col min="7" max="10" width="4" style="10" customWidth="1"/>
    <col min="11" max="11" width="4" style="14" customWidth="1"/>
    <col min="12" max="14" width="4" style="12" customWidth="1"/>
    <col min="15" max="34" width="4" style="10" customWidth="1"/>
    <col min="35" max="35" width="7.109375" style="13" bestFit="1" customWidth="1"/>
    <col min="36" max="36" width="6.44140625" style="14" bestFit="1" customWidth="1"/>
    <col min="37" max="37" width="6.5546875" style="10" bestFit="1" customWidth="1"/>
    <col min="38" max="16384" width="3.6640625" style="10"/>
  </cols>
  <sheetData>
    <row r="1" spans="1:37" s="9" customFormat="1" ht="78.75" customHeight="1" thickBot="1" x14ac:dyDescent="0.35">
      <c r="A1" s="100" t="e" vm="1">
        <v>#VALUE!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2"/>
    </row>
    <row r="2" spans="1:37" ht="25.5" customHeight="1" x14ac:dyDescent="0.25">
      <c r="A2" s="103" t="e" vm="8">
        <v>#VALUE!</v>
      </c>
      <c r="B2" s="104"/>
      <c r="C2" s="104"/>
      <c r="D2" s="104"/>
      <c r="E2" s="104"/>
      <c r="F2" s="104"/>
      <c r="G2" s="110" t="s">
        <v>0</v>
      </c>
      <c r="H2" s="111"/>
      <c r="I2" s="111"/>
      <c r="J2" s="111"/>
      <c r="K2" s="112"/>
      <c r="L2" s="105" t="s">
        <v>1</v>
      </c>
      <c r="M2" s="106"/>
      <c r="N2" s="107"/>
      <c r="O2" s="105" t="s">
        <v>2</v>
      </c>
      <c r="P2" s="106"/>
      <c r="Q2" s="107"/>
      <c r="R2" s="105" t="s">
        <v>55</v>
      </c>
      <c r="S2" s="106"/>
      <c r="T2" s="107"/>
      <c r="U2" s="105" t="s">
        <v>3</v>
      </c>
      <c r="V2" s="108"/>
      <c r="W2" s="108"/>
      <c r="X2" s="109"/>
      <c r="Y2" s="105" t="s">
        <v>4</v>
      </c>
      <c r="Z2" s="108"/>
      <c r="AA2" s="108"/>
      <c r="AB2" s="108"/>
      <c r="AC2" s="108"/>
      <c r="AD2" s="108"/>
      <c r="AE2" s="108"/>
      <c r="AF2" s="108"/>
      <c r="AG2" s="108"/>
      <c r="AH2" s="109"/>
      <c r="AI2" s="54" t="s">
        <v>5</v>
      </c>
      <c r="AJ2" s="55" t="s">
        <v>6</v>
      </c>
    </row>
    <row r="3" spans="1:37" ht="68.400000000000006" thickBot="1" x14ac:dyDescent="0.3">
      <c r="A3" s="56" t="s">
        <v>7</v>
      </c>
      <c r="B3" s="35" t="s">
        <v>8</v>
      </c>
      <c r="C3" s="21" t="s">
        <v>9</v>
      </c>
      <c r="D3" s="28" t="s">
        <v>10</v>
      </c>
      <c r="E3" s="36" t="s">
        <v>11</v>
      </c>
      <c r="F3" s="29" t="s">
        <v>12</v>
      </c>
      <c r="G3" s="39" t="s">
        <v>13</v>
      </c>
      <c r="H3" s="40" t="s">
        <v>14</v>
      </c>
      <c r="I3" s="41" t="s">
        <v>15</v>
      </c>
      <c r="J3" s="50" t="s">
        <v>16</v>
      </c>
      <c r="K3" s="57" t="s">
        <v>17</v>
      </c>
      <c r="L3" s="39" t="s">
        <v>18</v>
      </c>
      <c r="M3" s="41" t="s">
        <v>19</v>
      </c>
      <c r="N3" s="42" t="s">
        <v>20</v>
      </c>
      <c r="O3" s="18" t="s">
        <v>438</v>
      </c>
      <c r="P3" s="16" t="s">
        <v>439</v>
      </c>
      <c r="Q3" s="19" t="s">
        <v>440</v>
      </c>
      <c r="R3" s="18" t="s">
        <v>21</v>
      </c>
      <c r="S3" s="16" t="s">
        <v>22</v>
      </c>
      <c r="T3" s="19" t="s">
        <v>23</v>
      </c>
      <c r="U3" s="70" t="s">
        <v>441</v>
      </c>
      <c r="V3" s="71" t="s">
        <v>442</v>
      </c>
      <c r="W3" s="71" t="s">
        <v>443</v>
      </c>
      <c r="X3" s="17" t="s">
        <v>24</v>
      </c>
      <c r="Y3" s="43" t="s">
        <v>25</v>
      </c>
      <c r="Z3" s="35" t="s">
        <v>26</v>
      </c>
      <c r="AA3" s="35" t="s">
        <v>27</v>
      </c>
      <c r="AB3" s="35" t="s">
        <v>28</v>
      </c>
      <c r="AC3" s="35" t="s">
        <v>29</v>
      </c>
      <c r="AD3" s="35" t="s">
        <v>30</v>
      </c>
      <c r="AE3" s="35" t="s">
        <v>31</v>
      </c>
      <c r="AF3" s="35" t="s">
        <v>32</v>
      </c>
      <c r="AG3" s="35" t="s">
        <v>33</v>
      </c>
      <c r="AH3" s="44" t="s">
        <v>34</v>
      </c>
      <c r="AI3" s="20" t="s">
        <v>35</v>
      </c>
      <c r="AJ3" s="58" t="s">
        <v>5</v>
      </c>
    </row>
    <row r="4" spans="1:37" ht="14.4" customHeight="1" x14ac:dyDescent="0.3">
      <c r="A4" s="59">
        <v>1</v>
      </c>
      <c r="B4" s="51">
        <v>152</v>
      </c>
      <c r="C4" t="str">
        <f>_xlfn.XLOOKUP(Table62348[[#This Row],[No.]],Sheet2!B:B,Sheet2!C:C)</f>
        <v>Justin Allison</v>
      </c>
      <c r="D4" s="52">
        <f>_xlfn.XLOOKUP(Table62348[[#This Row],[No.]],Sheet2!B:B,Sheet2!G:G)</f>
        <v>6477</v>
      </c>
      <c r="E4" s="51" t="str">
        <f>_xlfn.XLOOKUP(Table62348[[#This Row],[No.]],Sheet2!B:B,Sheet2!H:H)</f>
        <v>NR</v>
      </c>
      <c r="F4" s="30" t="str">
        <f>_xlfn.XLOOKUP(Table62348[[#This Row],[No.]],Sheet2!B:B,Sheet2!D:D)</f>
        <v>BIRELART</v>
      </c>
      <c r="G4" s="37">
        <v>3</v>
      </c>
      <c r="H4" s="51">
        <v>3</v>
      </c>
      <c r="I4" s="51">
        <v>3</v>
      </c>
      <c r="J4" s="51">
        <v>0</v>
      </c>
      <c r="K4" s="48">
        <f>SUM(Table62348[[#This Row],[SARMC 1]:[SARMC 4]])</f>
        <v>9</v>
      </c>
      <c r="L4" s="37">
        <v>30</v>
      </c>
      <c r="M4" s="51">
        <v>35</v>
      </c>
      <c r="N4" s="38">
        <v>29</v>
      </c>
      <c r="O4" s="68">
        <v>30</v>
      </c>
      <c r="P4" s="51">
        <v>32</v>
      </c>
      <c r="Q4" s="38">
        <v>29</v>
      </c>
      <c r="R4" s="37">
        <v>35</v>
      </c>
      <c r="S4" s="51">
        <v>35</v>
      </c>
      <c r="T4" s="38">
        <v>35</v>
      </c>
      <c r="U4" s="37">
        <v>35</v>
      </c>
      <c r="V4" s="51">
        <v>35</v>
      </c>
      <c r="W4" s="51">
        <v>35</v>
      </c>
      <c r="X4" s="38">
        <v>35</v>
      </c>
      <c r="Y4" s="46">
        <f>LARGE((Table62348[[#This Row],[K1]:[Z4]]),1)</f>
        <v>35</v>
      </c>
      <c r="Z4" s="47">
        <f>LARGE((Table62348[[#This Row],[K1]:[Z4]]),2)</f>
        <v>35</v>
      </c>
      <c r="AA4" s="47">
        <f>LARGE((Table62348[[#This Row],[K1]:[Z4]]),3)</f>
        <v>35</v>
      </c>
      <c r="AB4" s="47">
        <f>LARGE((Table62348[[#This Row],[K1]:[Z4]]),4)</f>
        <v>35</v>
      </c>
      <c r="AC4" s="47">
        <f>LARGE((Table62348[[#This Row],[K1]:[Z4]]),5)</f>
        <v>35</v>
      </c>
      <c r="AD4" s="47">
        <f>LARGE((Table62348[[#This Row],[K1]:[Z4]]),6)</f>
        <v>35</v>
      </c>
      <c r="AE4" s="47">
        <f>LARGE((Table62348[[#This Row],[K1]:[Z4]]),7)</f>
        <v>35</v>
      </c>
      <c r="AF4" s="47">
        <f>LARGE((Table62348[[#This Row],[K1]:[Z4]]),8)</f>
        <v>35</v>
      </c>
      <c r="AG4" s="47">
        <f>LARGE((Table62348[[#This Row],[K1]:[Z4]]),9)</f>
        <v>32</v>
      </c>
      <c r="AH4" s="47">
        <f>LARGE((Table62348[[#This Row],[K1]:[Z4]]),10)</f>
        <v>30</v>
      </c>
      <c r="AI4" s="45">
        <f t="shared" ref="AI4:AI38" si="0">SUM(Y4:AH4)</f>
        <v>342</v>
      </c>
      <c r="AJ4" s="37">
        <f t="shared" ref="AJ4:AJ38" si="1">K4+AI4</f>
        <v>351</v>
      </c>
      <c r="AK4" s="11"/>
    </row>
    <row r="5" spans="1:37" ht="14.4" customHeight="1" x14ac:dyDescent="0.3">
      <c r="A5" s="59">
        <v>2</v>
      </c>
      <c r="B5" s="51">
        <v>169</v>
      </c>
      <c r="C5" t="str">
        <f>_xlfn.XLOOKUP(Table62348[[#This Row],[No.]],Sheet2!B:B,Sheet2!C:C)</f>
        <v>Jonathan Pieterse</v>
      </c>
      <c r="D5" s="52">
        <f>_xlfn.XLOOKUP(Table62348[[#This Row],[No.]],Sheet2!B:B,Sheet2!G:G)</f>
        <v>2227</v>
      </c>
      <c r="E5" s="51" t="str">
        <f>_xlfn.XLOOKUP(Table62348[[#This Row],[No.]],Sheet2!B:B,Sheet2!H:H)</f>
        <v>KZN</v>
      </c>
      <c r="F5" s="30" t="s">
        <v>333</v>
      </c>
      <c r="G5" s="37">
        <v>3</v>
      </c>
      <c r="H5" s="51">
        <v>3</v>
      </c>
      <c r="I5" s="51">
        <v>0</v>
      </c>
      <c r="J5" s="51">
        <v>3</v>
      </c>
      <c r="K5" s="49">
        <f>SUM(Table62348[[#This Row],[SARMC 1]:[SARMC 4]])</f>
        <v>9</v>
      </c>
      <c r="L5" s="37">
        <v>32</v>
      </c>
      <c r="M5" s="51">
        <v>28</v>
      </c>
      <c r="N5" s="38">
        <v>32</v>
      </c>
      <c r="O5" s="68">
        <v>35</v>
      </c>
      <c r="P5" s="51">
        <v>35</v>
      </c>
      <c r="Q5" s="38">
        <v>35</v>
      </c>
      <c r="R5" s="37">
        <v>32</v>
      </c>
      <c r="S5" s="51">
        <v>32</v>
      </c>
      <c r="T5" s="38">
        <v>32</v>
      </c>
      <c r="U5" s="37">
        <v>32</v>
      </c>
      <c r="V5" s="51">
        <v>32</v>
      </c>
      <c r="W5" s="51">
        <v>32</v>
      </c>
      <c r="X5" s="38">
        <v>32</v>
      </c>
      <c r="Y5" s="37">
        <f>LARGE((Table62348[[#This Row],[K1]:[Z4]]),1)</f>
        <v>35</v>
      </c>
      <c r="Z5" s="51">
        <f>LARGE((Table62348[[#This Row],[K1]:[Z4]]),2)</f>
        <v>35</v>
      </c>
      <c r="AA5" s="51">
        <f>LARGE((Table62348[[#This Row],[K1]:[Z4]]),3)</f>
        <v>35</v>
      </c>
      <c r="AB5" s="51">
        <f>LARGE((Table62348[[#This Row],[K1]:[Z4]]),4)</f>
        <v>32</v>
      </c>
      <c r="AC5" s="51">
        <f>LARGE((Table62348[[#This Row],[K1]:[Z4]]),5)</f>
        <v>32</v>
      </c>
      <c r="AD5" s="51">
        <f>LARGE((Table62348[[#This Row],[K1]:[Z4]]),6)</f>
        <v>32</v>
      </c>
      <c r="AE5" s="51">
        <f>LARGE((Table62348[[#This Row],[K1]:[Z4]]),7)</f>
        <v>32</v>
      </c>
      <c r="AF5" s="51">
        <f>LARGE((Table62348[[#This Row],[K1]:[Z4]]),8)</f>
        <v>32</v>
      </c>
      <c r="AG5" s="51">
        <f>LARGE((Table62348[[#This Row],[K1]:[Z4]]),9)</f>
        <v>32</v>
      </c>
      <c r="AH5" s="38">
        <f>LARGE((Table62348[[#This Row],[K1]:[Z4]]),10)</f>
        <v>32</v>
      </c>
      <c r="AI5" s="45">
        <f t="shared" si="0"/>
        <v>329</v>
      </c>
      <c r="AJ5" s="37">
        <f t="shared" si="1"/>
        <v>338</v>
      </c>
      <c r="AK5" s="11"/>
    </row>
    <row r="6" spans="1:37" ht="14.4" x14ac:dyDescent="0.3">
      <c r="A6" s="59">
        <v>3</v>
      </c>
      <c r="B6" s="51">
        <v>177</v>
      </c>
      <c r="C6" t="str">
        <f>_xlfn.XLOOKUP(Table62348[[#This Row],[No.]],Sheet2!B:B,Sheet2!C:C)</f>
        <v>Jared Jordan</v>
      </c>
      <c r="D6" s="52">
        <f>_xlfn.XLOOKUP(Table62348[[#This Row],[No.]],Sheet2!B:B,Sheet2!G:G)</f>
        <v>12400</v>
      </c>
      <c r="E6" s="51" t="str">
        <f>_xlfn.XLOOKUP(Table62348[[#This Row],[No.]],Sheet2!B:B,Sheet2!H:H)</f>
        <v>WP</v>
      </c>
      <c r="F6" s="30" t="str">
        <f>_xlfn.XLOOKUP(Table62348[[#This Row],[No.]],Sheet2!B:B,Sheet2!D:D)</f>
        <v>BIRELART</v>
      </c>
      <c r="G6" s="37">
        <v>3</v>
      </c>
      <c r="H6" s="51">
        <v>3</v>
      </c>
      <c r="I6" s="80">
        <v>3</v>
      </c>
      <c r="J6" s="51">
        <v>3</v>
      </c>
      <c r="K6" s="49">
        <f>SUM(Table62348[[#This Row],[SARMC 1]:[SARMC 4]])</f>
        <v>12</v>
      </c>
      <c r="L6" s="37">
        <v>35</v>
      </c>
      <c r="M6" s="51">
        <v>30</v>
      </c>
      <c r="N6" s="38">
        <v>35</v>
      </c>
      <c r="O6" s="68">
        <v>29</v>
      </c>
      <c r="P6" s="51">
        <v>29</v>
      </c>
      <c r="Q6" s="38">
        <v>30</v>
      </c>
      <c r="R6" s="37">
        <v>23</v>
      </c>
      <c r="S6" s="51">
        <v>30</v>
      </c>
      <c r="T6" s="38">
        <v>29</v>
      </c>
      <c r="U6" s="37">
        <v>0</v>
      </c>
      <c r="V6" s="51">
        <v>0</v>
      </c>
      <c r="W6" s="51">
        <v>0</v>
      </c>
      <c r="X6" s="38">
        <v>0</v>
      </c>
      <c r="Y6" s="37">
        <f>LARGE((Table62348[[#This Row],[K1]:[Z4]]),1)</f>
        <v>35</v>
      </c>
      <c r="Z6" s="51">
        <f>LARGE((Table62348[[#This Row],[K1]:[Z4]]),2)</f>
        <v>35</v>
      </c>
      <c r="AA6" s="51">
        <f>LARGE((Table62348[[#This Row],[K1]:[Z4]]),3)</f>
        <v>30</v>
      </c>
      <c r="AB6" s="51">
        <f>LARGE((Table62348[[#This Row],[K1]:[Z4]]),4)</f>
        <v>30</v>
      </c>
      <c r="AC6" s="51">
        <f>LARGE((Table62348[[#This Row],[K1]:[Z4]]),5)</f>
        <v>30</v>
      </c>
      <c r="AD6" s="51">
        <f>LARGE((Table62348[[#This Row],[K1]:[Z4]]),6)</f>
        <v>29</v>
      </c>
      <c r="AE6" s="51">
        <f>LARGE((Table62348[[#This Row],[K1]:[Z4]]),7)</f>
        <v>29</v>
      </c>
      <c r="AF6" s="51">
        <f>LARGE((Table62348[[#This Row],[K1]:[Z4]]),8)</f>
        <v>29</v>
      </c>
      <c r="AG6" s="51">
        <f>LARGE((Table62348[[#This Row],[K1]:[Z4]]),9)</f>
        <v>23</v>
      </c>
      <c r="AH6" s="38">
        <f>LARGE((Table62348[[#This Row],[K1]:[Z4]]),10)</f>
        <v>0</v>
      </c>
      <c r="AI6" s="45">
        <f t="shared" si="0"/>
        <v>270</v>
      </c>
      <c r="AJ6" s="37">
        <f t="shared" si="1"/>
        <v>282</v>
      </c>
      <c r="AK6" s="11"/>
    </row>
    <row r="7" spans="1:37" ht="14.4" customHeight="1" x14ac:dyDescent="0.3">
      <c r="A7" s="59">
        <v>4</v>
      </c>
      <c r="B7" s="51">
        <v>188</v>
      </c>
      <c r="C7" t="str">
        <f>_xlfn.XLOOKUP(Table62348[[#This Row],[No.]],Sheet2!B:B,Sheet2!C:C)</f>
        <v>Conor Hughes</v>
      </c>
      <c r="D7" s="52" t="str">
        <f>_xlfn.XLOOKUP(Table62348[[#This Row],[No.]],Sheet2!B:B,Sheet2!G:G)</f>
        <v>03618</v>
      </c>
      <c r="E7" s="51" t="str">
        <f>_xlfn.XLOOKUP(Table62348[[#This Row],[No.]],Sheet2!B:B,Sheet2!H:H)</f>
        <v>WP</v>
      </c>
      <c r="F7" s="30" t="s">
        <v>54</v>
      </c>
      <c r="G7" s="37">
        <v>3</v>
      </c>
      <c r="H7" s="51">
        <v>3</v>
      </c>
      <c r="I7" s="51">
        <v>3</v>
      </c>
      <c r="J7" s="51">
        <v>3</v>
      </c>
      <c r="K7" s="49">
        <f>SUM(Table62348[[#This Row],[SARMC 1]:[SARMC 4]])</f>
        <v>12</v>
      </c>
      <c r="L7" s="37">
        <v>29</v>
      </c>
      <c r="M7" s="51">
        <v>32</v>
      </c>
      <c r="N7" s="38">
        <v>30</v>
      </c>
      <c r="O7" s="68">
        <v>28</v>
      </c>
      <c r="P7" s="51">
        <v>28</v>
      </c>
      <c r="Q7" s="38">
        <v>28</v>
      </c>
      <c r="R7" s="37">
        <v>29</v>
      </c>
      <c r="S7" s="51">
        <v>29</v>
      </c>
      <c r="T7" s="38">
        <v>28</v>
      </c>
      <c r="U7" s="37">
        <v>0</v>
      </c>
      <c r="V7" s="51">
        <v>0</v>
      </c>
      <c r="W7" s="51">
        <v>0</v>
      </c>
      <c r="X7" s="38">
        <v>0</v>
      </c>
      <c r="Y7" s="37">
        <f>LARGE((Table62348[[#This Row],[K1]:[Z4]]),1)</f>
        <v>32</v>
      </c>
      <c r="Z7" s="51">
        <f>LARGE((Table62348[[#This Row],[K1]:[Z4]]),2)</f>
        <v>30</v>
      </c>
      <c r="AA7" s="51">
        <f>LARGE((Table62348[[#This Row],[K1]:[Z4]]),3)</f>
        <v>29</v>
      </c>
      <c r="AB7" s="51">
        <f>LARGE((Table62348[[#This Row],[K1]:[Z4]]),4)</f>
        <v>29</v>
      </c>
      <c r="AC7" s="51">
        <f>LARGE((Table62348[[#This Row],[K1]:[Z4]]),5)</f>
        <v>29</v>
      </c>
      <c r="AD7" s="51">
        <f>LARGE((Table62348[[#This Row],[K1]:[Z4]]),6)</f>
        <v>28</v>
      </c>
      <c r="AE7" s="51">
        <f>LARGE((Table62348[[#This Row],[K1]:[Z4]]),7)</f>
        <v>28</v>
      </c>
      <c r="AF7" s="51">
        <f>LARGE((Table62348[[#This Row],[K1]:[Z4]]),8)</f>
        <v>28</v>
      </c>
      <c r="AG7" s="51">
        <f>LARGE((Table62348[[#This Row],[K1]:[Z4]]),9)</f>
        <v>28</v>
      </c>
      <c r="AH7" s="38">
        <f>LARGE((Table62348[[#This Row],[K1]:[Z4]]),10)</f>
        <v>0</v>
      </c>
      <c r="AI7" s="45">
        <f t="shared" si="0"/>
        <v>261</v>
      </c>
      <c r="AJ7" s="37">
        <f t="shared" si="1"/>
        <v>273</v>
      </c>
      <c r="AK7" s="11"/>
    </row>
    <row r="8" spans="1:37" ht="14.4" customHeight="1" x14ac:dyDescent="0.3">
      <c r="A8" s="59">
        <v>5</v>
      </c>
      <c r="B8" s="51">
        <v>123</v>
      </c>
      <c r="C8" t="str">
        <f>_xlfn.XLOOKUP(Table62348[[#This Row],[No.]],Sheet2!B:B,Sheet2!C:C)</f>
        <v>Michael Jordan</v>
      </c>
      <c r="D8" s="52">
        <f>_xlfn.XLOOKUP(Table62348[[#This Row],[No.]],Sheet2!B:B,Sheet2!G:G)</f>
        <v>13349</v>
      </c>
      <c r="E8" s="51" t="str">
        <f>_xlfn.XLOOKUP(Table62348[[#This Row],[No.]],Sheet2!B:B,Sheet2!H:H)</f>
        <v>WP</v>
      </c>
      <c r="F8" s="30" t="s">
        <v>331</v>
      </c>
      <c r="G8" s="37">
        <v>3</v>
      </c>
      <c r="H8" s="51">
        <v>3</v>
      </c>
      <c r="I8" s="51">
        <v>3</v>
      </c>
      <c r="J8" s="51">
        <v>3</v>
      </c>
      <c r="K8" s="49">
        <f>SUM(Table62348[[#This Row],[SARMC 1]:[SARMC 4]])</f>
        <v>12</v>
      </c>
      <c r="L8" s="37">
        <v>28</v>
      </c>
      <c r="M8" s="51">
        <v>29</v>
      </c>
      <c r="N8" s="38">
        <v>28</v>
      </c>
      <c r="O8" s="68">
        <v>27</v>
      </c>
      <c r="P8" s="51">
        <v>27</v>
      </c>
      <c r="Q8" s="38">
        <v>27</v>
      </c>
      <c r="R8" s="37">
        <v>28</v>
      </c>
      <c r="S8" s="51">
        <v>27</v>
      </c>
      <c r="T8" s="38">
        <v>27</v>
      </c>
      <c r="U8" s="37">
        <v>0</v>
      </c>
      <c r="V8" s="51">
        <v>0</v>
      </c>
      <c r="W8" s="51">
        <v>0</v>
      </c>
      <c r="X8" s="38">
        <v>0</v>
      </c>
      <c r="Y8" s="37">
        <f>LARGE((Table62348[[#This Row],[K1]:[Z4]]),1)</f>
        <v>29</v>
      </c>
      <c r="Z8" s="51">
        <f>LARGE((Table62348[[#This Row],[K1]:[Z4]]),2)</f>
        <v>28</v>
      </c>
      <c r="AA8" s="51">
        <f>LARGE((Table62348[[#This Row],[K1]:[Z4]]),3)</f>
        <v>28</v>
      </c>
      <c r="AB8" s="51">
        <f>LARGE((Table62348[[#This Row],[K1]:[Z4]]),4)</f>
        <v>28</v>
      </c>
      <c r="AC8" s="51">
        <f>LARGE((Table62348[[#This Row],[K1]:[Z4]]),5)</f>
        <v>27</v>
      </c>
      <c r="AD8" s="51">
        <f>LARGE((Table62348[[#This Row],[K1]:[Z4]]),6)</f>
        <v>27</v>
      </c>
      <c r="AE8" s="51">
        <f>LARGE((Table62348[[#This Row],[K1]:[Z4]]),7)</f>
        <v>27</v>
      </c>
      <c r="AF8" s="51">
        <f>LARGE((Table62348[[#This Row],[K1]:[Z4]]),8)</f>
        <v>27</v>
      </c>
      <c r="AG8" s="51">
        <f>LARGE((Table62348[[#This Row],[K1]:[Z4]]),9)</f>
        <v>27</v>
      </c>
      <c r="AH8" s="38">
        <f>LARGE((Table62348[[#This Row],[K1]:[Z4]]),10)</f>
        <v>0</v>
      </c>
      <c r="AI8" s="45">
        <f t="shared" si="0"/>
        <v>248</v>
      </c>
      <c r="AJ8" s="37">
        <f t="shared" si="1"/>
        <v>260</v>
      </c>
      <c r="AK8" s="11"/>
    </row>
    <row r="9" spans="1:37" ht="14.4" x14ac:dyDescent="0.3">
      <c r="A9" s="59">
        <v>6</v>
      </c>
      <c r="B9" s="51">
        <v>135</v>
      </c>
      <c r="C9" t="str">
        <f>_xlfn.XLOOKUP(Table62348[[#This Row],[No.]],Sheet2!B:B,Sheet2!C:C)</f>
        <v>Justin Rogers</v>
      </c>
      <c r="D9" s="52">
        <f>_xlfn.XLOOKUP(Table62348[[#This Row],[No.]],Sheet2!B:B,Sheet2!G:G)</f>
        <v>29020</v>
      </c>
      <c r="E9" s="51" t="str">
        <f>_xlfn.XLOOKUP(Table62348[[#This Row],[No.]],Sheet2!B:B,Sheet2!H:H)</f>
        <v>NR</v>
      </c>
      <c r="F9" s="30" t="str">
        <f>_xlfn.XLOOKUP(Table62348[[#This Row],[No.]],Sheet2!B:B,Sheet2!D:D)</f>
        <v>BIRELART</v>
      </c>
      <c r="G9" s="37">
        <v>0</v>
      </c>
      <c r="H9" s="51">
        <v>0</v>
      </c>
      <c r="I9" s="51">
        <v>3</v>
      </c>
      <c r="J9" s="51">
        <v>0</v>
      </c>
      <c r="K9" s="49">
        <f>SUM(Table62348[[#This Row],[SARMC 1]:[SARMC 4]])</f>
        <v>3</v>
      </c>
      <c r="L9" s="37">
        <v>0</v>
      </c>
      <c r="M9" s="51">
        <v>0</v>
      </c>
      <c r="N9" s="38">
        <v>0</v>
      </c>
      <c r="O9" s="68">
        <v>32</v>
      </c>
      <c r="P9" s="51">
        <v>30</v>
      </c>
      <c r="Q9" s="38">
        <v>32</v>
      </c>
      <c r="R9" s="37">
        <v>30</v>
      </c>
      <c r="S9" s="51">
        <v>28</v>
      </c>
      <c r="T9" s="38">
        <v>30</v>
      </c>
      <c r="U9" s="37">
        <v>0</v>
      </c>
      <c r="V9" s="51">
        <v>0</v>
      </c>
      <c r="W9" s="51">
        <v>0</v>
      </c>
      <c r="X9" s="38">
        <v>0</v>
      </c>
      <c r="Y9" s="37">
        <f>LARGE((Table62348[[#This Row],[K1]:[Z4]]),1)</f>
        <v>32</v>
      </c>
      <c r="Z9" s="51">
        <f>LARGE((Table62348[[#This Row],[K1]:[Z4]]),2)</f>
        <v>32</v>
      </c>
      <c r="AA9" s="51">
        <f>LARGE((Table62348[[#This Row],[K1]:[Z4]]),3)</f>
        <v>30</v>
      </c>
      <c r="AB9" s="51">
        <f>LARGE((Table62348[[#This Row],[K1]:[Z4]]),4)</f>
        <v>30</v>
      </c>
      <c r="AC9" s="51">
        <f>LARGE((Table62348[[#This Row],[K1]:[Z4]]),5)</f>
        <v>30</v>
      </c>
      <c r="AD9" s="51">
        <f>LARGE((Table62348[[#This Row],[K1]:[Z4]]),6)</f>
        <v>28</v>
      </c>
      <c r="AE9" s="51">
        <f>LARGE((Table62348[[#This Row],[K1]:[Z4]]),7)</f>
        <v>0</v>
      </c>
      <c r="AF9" s="51">
        <f>LARGE((Table62348[[#This Row],[K1]:[Z4]]),8)</f>
        <v>0</v>
      </c>
      <c r="AG9" s="51">
        <f>LARGE((Table62348[[#This Row],[K1]:[Z4]]),9)</f>
        <v>0</v>
      </c>
      <c r="AH9" s="38">
        <f>LARGE((Table62348[[#This Row],[K1]:[Z4]]),10)</f>
        <v>0</v>
      </c>
      <c r="AI9" s="45">
        <f t="shared" si="0"/>
        <v>182</v>
      </c>
      <c r="AJ9" s="37">
        <f t="shared" si="1"/>
        <v>185</v>
      </c>
      <c r="AK9" s="11"/>
    </row>
    <row r="10" spans="1:37" ht="14.4" x14ac:dyDescent="0.3">
      <c r="A10" s="59">
        <v>7</v>
      </c>
      <c r="B10" s="51">
        <v>116</v>
      </c>
      <c r="C10" t="str">
        <f>_xlfn.XLOOKUP(Table62348[[#This Row],[No.]],Sheet2!B:B,Sheet2!C:C)</f>
        <v>Neville Chapman</v>
      </c>
      <c r="D10" s="52">
        <f>_xlfn.XLOOKUP(Table62348[[#This Row],[No.]],Sheet2!B:B,Sheet2!G:G)</f>
        <v>27116</v>
      </c>
      <c r="E10" s="51" t="str">
        <f>_xlfn.XLOOKUP(Table62348[[#This Row],[No.]],Sheet2!B:B,Sheet2!H:H)</f>
        <v>WP</v>
      </c>
      <c r="F10" s="30" t="str">
        <f>_xlfn.XLOOKUP(Table62348[[#This Row],[No.]],Sheet2!B:B,Sheet2!D:D)</f>
        <v>BIRELART</v>
      </c>
      <c r="G10" s="37">
        <v>3</v>
      </c>
      <c r="H10" s="51">
        <v>3</v>
      </c>
      <c r="I10" s="51">
        <v>0</v>
      </c>
      <c r="J10" s="51">
        <v>3</v>
      </c>
      <c r="K10" s="49">
        <f>SUM(Table62348[[#This Row],[SARMC 1]:[SARMC 4]])</f>
        <v>9</v>
      </c>
      <c r="L10" s="37">
        <v>0</v>
      </c>
      <c r="M10" s="51">
        <v>0</v>
      </c>
      <c r="N10" s="38">
        <v>0</v>
      </c>
      <c r="O10" s="68">
        <v>0</v>
      </c>
      <c r="P10" s="51">
        <v>0</v>
      </c>
      <c r="Q10" s="38">
        <v>0</v>
      </c>
      <c r="R10" s="37">
        <v>0</v>
      </c>
      <c r="S10" s="51">
        <v>0</v>
      </c>
      <c r="T10" s="38">
        <v>0</v>
      </c>
      <c r="U10" s="37">
        <v>0</v>
      </c>
      <c r="V10" s="51">
        <v>0</v>
      </c>
      <c r="W10" s="51">
        <v>0</v>
      </c>
      <c r="X10" s="38">
        <v>0</v>
      </c>
      <c r="Y10" s="37">
        <f>LARGE((Table62348[[#This Row],[K1]:[Z4]]),1)</f>
        <v>0</v>
      </c>
      <c r="Z10" s="51">
        <f>LARGE((Table62348[[#This Row],[K1]:[Z4]]),2)</f>
        <v>0</v>
      </c>
      <c r="AA10" s="51">
        <f>LARGE((Table62348[[#This Row],[K1]:[Z4]]),3)</f>
        <v>0</v>
      </c>
      <c r="AB10" s="51">
        <f>LARGE((Table62348[[#This Row],[K1]:[Z4]]),4)</f>
        <v>0</v>
      </c>
      <c r="AC10" s="51">
        <f>LARGE((Table62348[[#This Row],[K1]:[Z4]]),5)</f>
        <v>0</v>
      </c>
      <c r="AD10" s="51">
        <f>LARGE((Table62348[[#This Row],[K1]:[Z4]]),6)</f>
        <v>0</v>
      </c>
      <c r="AE10" s="51">
        <f>LARGE((Table62348[[#This Row],[K1]:[Z4]]),7)</f>
        <v>0</v>
      </c>
      <c r="AF10" s="51">
        <f>LARGE((Table62348[[#This Row],[K1]:[Z4]]),8)</f>
        <v>0</v>
      </c>
      <c r="AG10" s="51">
        <f>LARGE((Table62348[[#This Row],[K1]:[Z4]]),9)</f>
        <v>0</v>
      </c>
      <c r="AH10" s="38">
        <f>LARGE((Table62348[[#This Row],[K1]:[Z4]]),10)</f>
        <v>0</v>
      </c>
      <c r="AI10" s="45">
        <f t="shared" si="0"/>
        <v>0</v>
      </c>
      <c r="AJ10" s="37">
        <f t="shared" si="1"/>
        <v>9</v>
      </c>
      <c r="AK10" s="11"/>
    </row>
    <row r="11" spans="1:37" ht="14.4" x14ac:dyDescent="0.3">
      <c r="A11" s="59">
        <v>8</v>
      </c>
      <c r="B11" s="51">
        <v>162</v>
      </c>
      <c r="C11" t="s">
        <v>461</v>
      </c>
      <c r="D11" s="52"/>
      <c r="E11" s="51" t="s">
        <v>44</v>
      </c>
      <c r="F11" s="30" t="s">
        <v>331</v>
      </c>
      <c r="G11" s="37">
        <v>0</v>
      </c>
      <c r="H11" s="51">
        <v>3</v>
      </c>
      <c r="I11" s="51">
        <v>3</v>
      </c>
      <c r="J11" s="51">
        <v>3</v>
      </c>
      <c r="K11" s="49">
        <f>SUM(Table62348[[#This Row],[SARMC 1]:[SARMC 4]])</f>
        <v>9</v>
      </c>
      <c r="L11" s="37">
        <v>0</v>
      </c>
      <c r="M11" s="51">
        <v>0</v>
      </c>
      <c r="N11" s="38">
        <v>0</v>
      </c>
      <c r="O11" s="68">
        <v>0</v>
      </c>
      <c r="P11" s="51">
        <v>0</v>
      </c>
      <c r="Q11" s="38">
        <v>0</v>
      </c>
      <c r="R11" s="37">
        <v>0</v>
      </c>
      <c r="S11" s="51">
        <v>0</v>
      </c>
      <c r="T11" s="38">
        <v>0</v>
      </c>
      <c r="U11" s="37">
        <v>0</v>
      </c>
      <c r="V11" s="51">
        <v>0</v>
      </c>
      <c r="W11" s="51">
        <v>0</v>
      </c>
      <c r="X11" s="38">
        <v>0</v>
      </c>
      <c r="Y11" s="37">
        <f>LARGE((Table62348[[#This Row],[K1]:[Z4]]),1)</f>
        <v>0</v>
      </c>
      <c r="Z11" s="51">
        <f>LARGE((Table62348[[#This Row],[K1]:[Z4]]),2)</f>
        <v>0</v>
      </c>
      <c r="AA11" s="51">
        <f>LARGE((Table62348[[#This Row],[K1]:[Z4]]),3)</f>
        <v>0</v>
      </c>
      <c r="AB11" s="51">
        <f>LARGE((Table62348[[#This Row],[K1]:[Z4]]),4)</f>
        <v>0</v>
      </c>
      <c r="AC11" s="51">
        <f>LARGE((Table62348[[#This Row],[K1]:[Z4]]),5)</f>
        <v>0</v>
      </c>
      <c r="AD11" s="51">
        <f>LARGE((Table62348[[#This Row],[K1]:[Z4]]),6)</f>
        <v>0</v>
      </c>
      <c r="AE11" s="51">
        <f>LARGE((Table62348[[#This Row],[K1]:[Z4]]),7)</f>
        <v>0</v>
      </c>
      <c r="AF11" s="51">
        <f>LARGE((Table62348[[#This Row],[K1]:[Z4]]),8)</f>
        <v>0</v>
      </c>
      <c r="AG11" s="51">
        <f>LARGE((Table62348[[#This Row],[K1]:[Z4]]),9)</f>
        <v>0</v>
      </c>
      <c r="AH11" s="38">
        <f>LARGE((Table62348[[#This Row],[K1]:[Z4]]),10)</f>
        <v>0</v>
      </c>
      <c r="AI11" s="45">
        <f t="shared" si="0"/>
        <v>0</v>
      </c>
      <c r="AJ11" s="37">
        <f t="shared" si="1"/>
        <v>9</v>
      </c>
      <c r="AK11" s="11"/>
    </row>
    <row r="12" spans="1:37" ht="14.4" x14ac:dyDescent="0.3">
      <c r="A12" s="59">
        <v>9</v>
      </c>
      <c r="B12" s="51">
        <v>111</v>
      </c>
      <c r="C12" t="str">
        <f>_xlfn.XLOOKUP(Table62348[[#This Row],[No.]],Sheet2!B:B,Sheet2!C:C)</f>
        <v>Jimmy Auby</v>
      </c>
      <c r="D12" s="52">
        <f>_xlfn.XLOOKUP(Table62348[[#This Row],[No.]],Sheet2!B:B,Sheet2!G:G)</f>
        <v>6259</v>
      </c>
      <c r="E12" s="51" t="str">
        <f>_xlfn.XLOOKUP(Table62348[[#This Row],[No.]],Sheet2!B:B,Sheet2!H:H)</f>
        <v>WP</v>
      </c>
      <c r="F12" s="30" t="str">
        <f>_xlfn.XLOOKUP(Table62348[[#This Row],[No.]],Sheet2!B:B,Sheet2!D:D)</f>
        <v>BIRELART</v>
      </c>
      <c r="G12" s="37">
        <v>0</v>
      </c>
      <c r="H12" s="51">
        <v>3</v>
      </c>
      <c r="I12" s="51">
        <v>0</v>
      </c>
      <c r="J12" s="51">
        <v>0</v>
      </c>
      <c r="K12" s="49">
        <f>SUM(Table62348[[#This Row],[SARMC 1]:[SARMC 4]])</f>
        <v>3</v>
      </c>
      <c r="L12" s="37">
        <v>0</v>
      </c>
      <c r="M12" s="51">
        <v>0</v>
      </c>
      <c r="N12" s="38">
        <v>0</v>
      </c>
      <c r="O12" s="68">
        <v>0</v>
      </c>
      <c r="P12" s="51">
        <v>0</v>
      </c>
      <c r="Q12" s="38">
        <v>0</v>
      </c>
      <c r="R12" s="37">
        <v>0</v>
      </c>
      <c r="S12" s="51">
        <v>0</v>
      </c>
      <c r="T12" s="38">
        <v>0</v>
      </c>
      <c r="U12" s="37">
        <v>0</v>
      </c>
      <c r="V12" s="51">
        <v>0</v>
      </c>
      <c r="W12" s="51">
        <v>0</v>
      </c>
      <c r="X12" s="38">
        <v>0</v>
      </c>
      <c r="Y12" s="37">
        <f>LARGE((Table62348[[#This Row],[K1]:[Z4]]),1)</f>
        <v>0</v>
      </c>
      <c r="Z12" s="51">
        <f>LARGE((Table62348[[#This Row],[K1]:[Z4]]),2)</f>
        <v>0</v>
      </c>
      <c r="AA12" s="51">
        <f>LARGE((Table62348[[#This Row],[K1]:[Z4]]),3)</f>
        <v>0</v>
      </c>
      <c r="AB12" s="51">
        <f>LARGE((Table62348[[#This Row],[K1]:[Z4]]),4)</f>
        <v>0</v>
      </c>
      <c r="AC12" s="51">
        <f>LARGE((Table62348[[#This Row],[K1]:[Z4]]),5)</f>
        <v>0</v>
      </c>
      <c r="AD12" s="51">
        <f>LARGE((Table62348[[#This Row],[K1]:[Z4]]),6)</f>
        <v>0</v>
      </c>
      <c r="AE12" s="51">
        <f>LARGE((Table62348[[#This Row],[K1]:[Z4]]),7)</f>
        <v>0</v>
      </c>
      <c r="AF12" s="51">
        <f>LARGE((Table62348[[#This Row],[K1]:[Z4]]),8)</f>
        <v>0</v>
      </c>
      <c r="AG12" s="51">
        <f>LARGE((Table62348[[#This Row],[K1]:[Z4]]),9)</f>
        <v>0</v>
      </c>
      <c r="AH12" s="38">
        <f>LARGE((Table62348[[#This Row],[K1]:[Z4]]),10)</f>
        <v>0</v>
      </c>
      <c r="AI12" s="45">
        <f t="shared" si="0"/>
        <v>0</v>
      </c>
      <c r="AJ12" s="37">
        <f t="shared" si="1"/>
        <v>3</v>
      </c>
      <c r="AK12" s="11"/>
    </row>
    <row r="13" spans="1:37" ht="14.4" x14ac:dyDescent="0.3">
      <c r="A13" s="59">
        <v>10</v>
      </c>
      <c r="B13" s="80">
        <v>171</v>
      </c>
      <c r="C13" s="81" t="str">
        <f>_xlfn.XLOOKUP(Table62348[[#This Row],[No.]],Sheet2!B:B,Sheet2!C:C)</f>
        <v>Carlo Gil</v>
      </c>
      <c r="D13" s="82">
        <f>_xlfn.XLOOKUP(Table62348[[#This Row],[No.]],Sheet2!B:B,Sheet2!G:G)</f>
        <v>3757</v>
      </c>
      <c r="E13" s="80" t="str">
        <f>_xlfn.XLOOKUP(Table62348[[#This Row],[No.]],Sheet2!B:B,Sheet2!H:H)</f>
        <v>NR</v>
      </c>
      <c r="F13" s="30" t="str">
        <f>_xlfn.XLOOKUP(Table62348[[#This Row],[No.]],Sheet2!B:B,Sheet2!D:D)</f>
        <v>RICCIARDO</v>
      </c>
      <c r="G13" s="80">
        <v>0</v>
      </c>
      <c r="H13" s="80">
        <v>3</v>
      </c>
      <c r="I13" s="80">
        <v>0</v>
      </c>
      <c r="J13" s="80">
        <v>0</v>
      </c>
      <c r="K13" s="49">
        <f>SUM(Table62348[[#This Row],[SARMC 1]:[SARMC 4]])</f>
        <v>3</v>
      </c>
      <c r="L13" s="37">
        <v>0</v>
      </c>
      <c r="M13" s="51">
        <v>0</v>
      </c>
      <c r="N13" s="38">
        <v>0</v>
      </c>
      <c r="O13" s="68">
        <v>0</v>
      </c>
      <c r="P13" s="51">
        <v>0</v>
      </c>
      <c r="Q13" s="38">
        <v>0</v>
      </c>
      <c r="R13" s="37">
        <v>0</v>
      </c>
      <c r="S13" s="51">
        <v>0</v>
      </c>
      <c r="T13" s="38">
        <v>0</v>
      </c>
      <c r="U13" s="37">
        <v>0</v>
      </c>
      <c r="V13" s="51">
        <v>0</v>
      </c>
      <c r="W13" s="51">
        <v>0</v>
      </c>
      <c r="X13" s="38">
        <v>0</v>
      </c>
      <c r="Y13" s="37">
        <f>LARGE((Table62348[[#This Row],[K1]:[Z4]]),1)</f>
        <v>0</v>
      </c>
      <c r="Z13" s="51">
        <f>LARGE((Table62348[[#This Row],[K1]:[Z4]]),2)</f>
        <v>0</v>
      </c>
      <c r="AA13" s="51">
        <f>LARGE((Table62348[[#This Row],[K1]:[Z4]]),3)</f>
        <v>0</v>
      </c>
      <c r="AB13" s="51">
        <f>LARGE((Table62348[[#This Row],[K1]:[Z4]]),4)</f>
        <v>0</v>
      </c>
      <c r="AC13" s="51">
        <f>LARGE((Table62348[[#This Row],[K1]:[Z4]]),5)</f>
        <v>0</v>
      </c>
      <c r="AD13" s="51">
        <f>LARGE((Table62348[[#This Row],[K1]:[Z4]]),6)</f>
        <v>0</v>
      </c>
      <c r="AE13" s="51">
        <f>LARGE((Table62348[[#This Row],[K1]:[Z4]]),7)</f>
        <v>0</v>
      </c>
      <c r="AF13" s="51">
        <f>LARGE((Table62348[[#This Row],[K1]:[Z4]]),8)</f>
        <v>0</v>
      </c>
      <c r="AG13" s="51">
        <f>LARGE((Table62348[[#This Row],[K1]:[Z4]]),9)</f>
        <v>0</v>
      </c>
      <c r="AH13" s="38">
        <f>LARGE((Table62348[[#This Row],[K1]:[Z4]]),10)</f>
        <v>0</v>
      </c>
      <c r="AI13" s="45">
        <f t="shared" si="0"/>
        <v>0</v>
      </c>
      <c r="AJ13" s="37">
        <f t="shared" si="1"/>
        <v>3</v>
      </c>
      <c r="AK13" s="11"/>
    </row>
    <row r="14" spans="1:37" ht="14.4" x14ac:dyDescent="0.3">
      <c r="A14" s="59">
        <v>11</v>
      </c>
      <c r="B14" s="80">
        <v>112</v>
      </c>
      <c r="C14" s="81" t="str">
        <f>_xlfn.XLOOKUP(Table62348[[#This Row],[No.]],Sheet2!B:B,Sheet2!C:C)</f>
        <v>Alistair Mingay</v>
      </c>
      <c r="D14" s="82"/>
      <c r="E14" s="80" t="str">
        <f>_xlfn.XLOOKUP(Table62348[[#This Row],[No.]],Sheet2!B:B,Sheet2!H:H)</f>
        <v>KZN</v>
      </c>
      <c r="F14" s="30" t="str">
        <f>_xlfn.XLOOKUP(Table62348[[#This Row],[No.]],Sheet2!B:B,Sheet2!D:D)</f>
        <v>TONY</v>
      </c>
      <c r="G14" s="80">
        <v>0</v>
      </c>
      <c r="H14" s="80">
        <v>0</v>
      </c>
      <c r="I14" s="80">
        <v>0</v>
      </c>
      <c r="J14" s="80">
        <v>3</v>
      </c>
      <c r="K14" s="49">
        <f>SUM(Table62348[[#This Row],[SARMC 1]:[SARMC 4]])</f>
        <v>3</v>
      </c>
      <c r="L14" s="37">
        <v>0</v>
      </c>
      <c r="M14" s="51">
        <v>0</v>
      </c>
      <c r="N14" s="38">
        <v>0</v>
      </c>
      <c r="O14" s="68">
        <v>0</v>
      </c>
      <c r="P14" s="51">
        <v>0</v>
      </c>
      <c r="Q14" s="38">
        <v>0</v>
      </c>
      <c r="R14" s="37">
        <v>0</v>
      </c>
      <c r="S14" s="51">
        <v>0</v>
      </c>
      <c r="T14" s="38">
        <v>0</v>
      </c>
      <c r="U14" s="37">
        <v>0</v>
      </c>
      <c r="V14" s="51">
        <v>0</v>
      </c>
      <c r="W14" s="51">
        <v>0</v>
      </c>
      <c r="X14" s="38">
        <v>0</v>
      </c>
      <c r="Y14" s="37">
        <f>LARGE((Table62348[[#This Row],[K1]:[Z4]]),1)</f>
        <v>0</v>
      </c>
      <c r="Z14" s="51">
        <f>LARGE((Table62348[[#This Row],[K1]:[Z4]]),2)</f>
        <v>0</v>
      </c>
      <c r="AA14" s="51">
        <f>LARGE((Table62348[[#This Row],[K1]:[Z4]]),3)</f>
        <v>0</v>
      </c>
      <c r="AB14" s="51">
        <f>LARGE((Table62348[[#This Row],[K1]:[Z4]]),4)</f>
        <v>0</v>
      </c>
      <c r="AC14" s="51">
        <f>LARGE((Table62348[[#This Row],[K1]:[Z4]]),5)</f>
        <v>0</v>
      </c>
      <c r="AD14" s="51">
        <f>LARGE((Table62348[[#This Row],[K1]:[Z4]]),6)</f>
        <v>0</v>
      </c>
      <c r="AE14" s="51">
        <f>LARGE((Table62348[[#This Row],[K1]:[Z4]]),7)</f>
        <v>0</v>
      </c>
      <c r="AF14" s="51">
        <f>LARGE((Table62348[[#This Row],[K1]:[Z4]]),8)</f>
        <v>0</v>
      </c>
      <c r="AG14" s="51">
        <f>LARGE((Table62348[[#This Row],[K1]:[Z4]]),9)</f>
        <v>0</v>
      </c>
      <c r="AH14" s="38">
        <f>LARGE((Table62348[[#This Row],[K1]:[Z4]]),10)</f>
        <v>0</v>
      </c>
      <c r="AI14" s="45">
        <f t="shared" si="0"/>
        <v>0</v>
      </c>
      <c r="AJ14" s="37">
        <f t="shared" si="1"/>
        <v>3</v>
      </c>
      <c r="AK14" s="11"/>
    </row>
    <row r="15" spans="1:37" ht="14.4" hidden="1" x14ac:dyDescent="0.3">
      <c r="A15" s="59">
        <v>12</v>
      </c>
      <c r="B15" s="51"/>
      <c r="C15"/>
      <c r="D15" s="52">
        <f>_xlfn.XLOOKUP(Table62348[[#This Row],[No.]],Sheet2!B:B,Sheet2!G:G)</f>
        <v>0</v>
      </c>
      <c r="E15" s="51">
        <f>_xlfn.XLOOKUP(Table62348[[#This Row],[No.]],Sheet2!B:B,Sheet2!H:H)</f>
        <v>0</v>
      </c>
      <c r="F15" s="30">
        <f>_xlfn.XLOOKUP(Table62348[[#This Row],[No.]],Sheet2!B:B,Sheet2!D:D)</f>
        <v>0</v>
      </c>
      <c r="G15" s="37">
        <v>0</v>
      </c>
      <c r="H15" s="51">
        <v>0</v>
      </c>
      <c r="I15" s="51">
        <v>0</v>
      </c>
      <c r="J15" s="51">
        <v>0</v>
      </c>
      <c r="K15" s="49">
        <f>SUM(Table62348[[#This Row],[SARMC 1]:[SARMC 4]])</f>
        <v>0</v>
      </c>
      <c r="L15" s="37">
        <v>0</v>
      </c>
      <c r="M15" s="51">
        <v>0</v>
      </c>
      <c r="N15" s="38">
        <v>0</v>
      </c>
      <c r="O15" s="68">
        <v>0</v>
      </c>
      <c r="P15" s="51">
        <v>0</v>
      </c>
      <c r="Q15" s="38">
        <v>0</v>
      </c>
      <c r="R15" s="37">
        <v>0</v>
      </c>
      <c r="S15" s="51">
        <v>0</v>
      </c>
      <c r="T15" s="38">
        <v>0</v>
      </c>
      <c r="U15" s="37">
        <v>0</v>
      </c>
      <c r="V15" s="51">
        <v>0</v>
      </c>
      <c r="W15" s="51">
        <v>0</v>
      </c>
      <c r="X15" s="38">
        <v>0</v>
      </c>
      <c r="Y15" s="37">
        <f>LARGE((Table62348[[#This Row],[K1]:[Z4]]),1)</f>
        <v>0</v>
      </c>
      <c r="Z15" s="51">
        <f>LARGE((Table62348[[#This Row],[K1]:[Z4]]),2)</f>
        <v>0</v>
      </c>
      <c r="AA15" s="51">
        <f>LARGE((Table62348[[#This Row],[K1]:[Z4]]),3)</f>
        <v>0</v>
      </c>
      <c r="AB15" s="51">
        <f>LARGE((Table62348[[#This Row],[K1]:[Z4]]),4)</f>
        <v>0</v>
      </c>
      <c r="AC15" s="51">
        <f>LARGE((Table62348[[#This Row],[K1]:[Z4]]),5)</f>
        <v>0</v>
      </c>
      <c r="AD15" s="51">
        <f>LARGE((Table62348[[#This Row],[K1]:[Z4]]),6)</f>
        <v>0</v>
      </c>
      <c r="AE15" s="51">
        <f>LARGE((Table62348[[#This Row],[K1]:[Z4]]),7)</f>
        <v>0</v>
      </c>
      <c r="AF15" s="51">
        <f>LARGE((Table62348[[#This Row],[K1]:[Z4]]),8)</f>
        <v>0</v>
      </c>
      <c r="AG15" s="51">
        <f>LARGE((Table62348[[#This Row],[K1]:[Z4]]),9)</f>
        <v>0</v>
      </c>
      <c r="AH15" s="38">
        <f>LARGE((Table62348[[#This Row],[K1]:[Z4]]),10)</f>
        <v>0</v>
      </c>
      <c r="AI15" s="45">
        <f t="shared" si="0"/>
        <v>0</v>
      </c>
      <c r="AJ15" s="37">
        <f t="shared" si="1"/>
        <v>0</v>
      </c>
      <c r="AK15" s="11"/>
    </row>
    <row r="16" spans="1:37" ht="14.4" hidden="1" x14ac:dyDescent="0.3">
      <c r="A16" s="59">
        <v>13</v>
      </c>
      <c r="B16" s="51"/>
      <c r="C16">
        <f>_xlfn.XLOOKUP(Table62348[[#This Row],[No.]],Sheet2!B:B,Sheet2!C:C)</f>
        <v>0</v>
      </c>
      <c r="D16" s="52">
        <f>_xlfn.XLOOKUP(Table62348[[#This Row],[No.]],Sheet2!B:B,Sheet2!G:G)</f>
        <v>0</v>
      </c>
      <c r="E16" s="51">
        <f>_xlfn.XLOOKUP(Table62348[[#This Row],[No.]],Sheet2!B:B,Sheet2!H:H)</f>
        <v>0</v>
      </c>
      <c r="F16" s="30">
        <f>_xlfn.XLOOKUP(Table62348[[#This Row],[No.]],Sheet2!B:B,Sheet2!D:D)</f>
        <v>0</v>
      </c>
      <c r="G16" s="37">
        <v>0</v>
      </c>
      <c r="H16" s="51">
        <v>0</v>
      </c>
      <c r="I16" s="51">
        <v>0</v>
      </c>
      <c r="J16" s="51">
        <v>0</v>
      </c>
      <c r="K16" s="49">
        <f>SUM(Table62348[[#This Row],[SARMC 1]:[SARMC 4]])</f>
        <v>0</v>
      </c>
      <c r="L16" s="37">
        <v>0</v>
      </c>
      <c r="M16" s="51">
        <v>0</v>
      </c>
      <c r="N16" s="38">
        <v>0</v>
      </c>
      <c r="O16" s="68">
        <v>0</v>
      </c>
      <c r="P16" s="51">
        <v>0</v>
      </c>
      <c r="Q16" s="38">
        <v>0</v>
      </c>
      <c r="R16" s="37">
        <v>0</v>
      </c>
      <c r="S16" s="51">
        <v>0</v>
      </c>
      <c r="T16" s="38">
        <v>0</v>
      </c>
      <c r="U16" s="37">
        <v>0</v>
      </c>
      <c r="V16" s="51">
        <v>0</v>
      </c>
      <c r="W16" s="51">
        <v>0</v>
      </c>
      <c r="X16" s="38">
        <v>0</v>
      </c>
      <c r="Y16" s="37">
        <f>LARGE((Table62348[[#This Row],[K1]:[Z4]]),1)</f>
        <v>0</v>
      </c>
      <c r="Z16" s="51">
        <f>LARGE((Table62348[[#This Row],[K1]:[Z4]]),2)</f>
        <v>0</v>
      </c>
      <c r="AA16" s="51">
        <f>LARGE((Table62348[[#This Row],[K1]:[Z4]]),3)</f>
        <v>0</v>
      </c>
      <c r="AB16" s="51">
        <f>LARGE((Table62348[[#This Row],[K1]:[Z4]]),4)</f>
        <v>0</v>
      </c>
      <c r="AC16" s="51">
        <f>LARGE((Table62348[[#This Row],[K1]:[Z4]]),5)</f>
        <v>0</v>
      </c>
      <c r="AD16" s="51">
        <f>LARGE((Table62348[[#This Row],[K1]:[Z4]]),6)</f>
        <v>0</v>
      </c>
      <c r="AE16" s="51">
        <f>LARGE((Table62348[[#This Row],[K1]:[Z4]]),7)</f>
        <v>0</v>
      </c>
      <c r="AF16" s="51">
        <f>LARGE((Table62348[[#This Row],[K1]:[Z4]]),8)</f>
        <v>0</v>
      </c>
      <c r="AG16" s="51">
        <f>LARGE((Table62348[[#This Row],[K1]:[Z4]]),9)</f>
        <v>0</v>
      </c>
      <c r="AH16" s="38">
        <f>LARGE((Table62348[[#This Row],[K1]:[Z4]]),10)</f>
        <v>0</v>
      </c>
      <c r="AI16" s="45">
        <f t="shared" si="0"/>
        <v>0</v>
      </c>
      <c r="AJ16" s="37">
        <f t="shared" si="1"/>
        <v>0</v>
      </c>
      <c r="AK16" s="11"/>
    </row>
    <row r="17" spans="1:37" ht="14.4" hidden="1" x14ac:dyDescent="0.3">
      <c r="A17" s="59">
        <v>14</v>
      </c>
      <c r="B17" s="51"/>
      <c r="C17">
        <f>_xlfn.XLOOKUP(Table62348[[#This Row],[No.]],Sheet2!B:B,Sheet2!C:C)</f>
        <v>0</v>
      </c>
      <c r="D17" s="52">
        <f>_xlfn.XLOOKUP(Table62348[[#This Row],[No.]],Sheet2!B:B,Sheet2!G:G)</f>
        <v>0</v>
      </c>
      <c r="E17" s="51">
        <f>_xlfn.XLOOKUP(Table62348[[#This Row],[No.]],Sheet2!B:B,Sheet2!H:H)</f>
        <v>0</v>
      </c>
      <c r="F17" s="30">
        <f>_xlfn.XLOOKUP(Table62348[[#This Row],[No.]],Sheet2!B:B,Sheet2!D:D)</f>
        <v>0</v>
      </c>
      <c r="G17" s="37">
        <v>0</v>
      </c>
      <c r="H17" s="51">
        <v>0</v>
      </c>
      <c r="I17" s="51">
        <v>0</v>
      </c>
      <c r="J17" s="51">
        <v>0</v>
      </c>
      <c r="K17" s="49">
        <f>SUM(Table62348[[#This Row],[SARMC 1]:[SARMC 4]])</f>
        <v>0</v>
      </c>
      <c r="L17" s="37">
        <v>0</v>
      </c>
      <c r="M17" s="51">
        <v>0</v>
      </c>
      <c r="N17" s="38">
        <v>0</v>
      </c>
      <c r="O17" s="37">
        <v>0</v>
      </c>
      <c r="P17" s="51">
        <v>0</v>
      </c>
      <c r="Q17" s="38">
        <v>0</v>
      </c>
      <c r="R17" s="37">
        <v>0</v>
      </c>
      <c r="S17" s="51">
        <v>0</v>
      </c>
      <c r="T17" s="38">
        <v>0</v>
      </c>
      <c r="U17" s="37">
        <v>0</v>
      </c>
      <c r="V17" s="51">
        <v>0</v>
      </c>
      <c r="W17" s="51">
        <v>0</v>
      </c>
      <c r="X17" s="38">
        <v>0</v>
      </c>
      <c r="Y17" s="37">
        <f>LARGE((Table62348[[#This Row],[K1]:[Z4]]),1)</f>
        <v>0</v>
      </c>
      <c r="Z17" s="51">
        <f>LARGE((Table62348[[#This Row],[K1]:[Z4]]),2)</f>
        <v>0</v>
      </c>
      <c r="AA17" s="51">
        <f>LARGE((Table62348[[#This Row],[K1]:[Z4]]),3)</f>
        <v>0</v>
      </c>
      <c r="AB17" s="51">
        <f>LARGE((Table62348[[#This Row],[K1]:[Z4]]),4)</f>
        <v>0</v>
      </c>
      <c r="AC17" s="51">
        <f>LARGE((Table62348[[#This Row],[K1]:[Z4]]),5)</f>
        <v>0</v>
      </c>
      <c r="AD17" s="51">
        <f>LARGE((Table62348[[#This Row],[K1]:[Z4]]),6)</f>
        <v>0</v>
      </c>
      <c r="AE17" s="51">
        <f>LARGE((Table62348[[#This Row],[K1]:[Z4]]),7)</f>
        <v>0</v>
      </c>
      <c r="AF17" s="51">
        <f>LARGE((Table62348[[#This Row],[K1]:[Z4]]),8)</f>
        <v>0</v>
      </c>
      <c r="AG17" s="51">
        <f>LARGE((Table62348[[#This Row],[K1]:[Z4]]),9)</f>
        <v>0</v>
      </c>
      <c r="AH17" s="38">
        <f>LARGE((Table62348[[#This Row],[K1]:[Z4]]),10)</f>
        <v>0</v>
      </c>
      <c r="AI17" s="45">
        <f t="shared" si="0"/>
        <v>0</v>
      </c>
      <c r="AJ17" s="37">
        <f t="shared" si="1"/>
        <v>0</v>
      </c>
      <c r="AK17" s="11"/>
    </row>
    <row r="18" spans="1:37" ht="14.4" hidden="1" x14ac:dyDescent="0.3">
      <c r="A18" s="59">
        <v>15</v>
      </c>
      <c r="B18" s="51"/>
      <c r="C18">
        <f>_xlfn.XLOOKUP(Table62348[[#This Row],[No.]],Sheet2!B:B,Sheet2!C:C)</f>
        <v>0</v>
      </c>
      <c r="D18" s="52">
        <f>_xlfn.XLOOKUP(Table62348[[#This Row],[No.]],Sheet2!B:B,Sheet2!G:G)</f>
        <v>0</v>
      </c>
      <c r="E18" s="51">
        <f>_xlfn.XLOOKUP(Table62348[[#This Row],[No.]],Sheet2!B:B,Sheet2!H:H)</f>
        <v>0</v>
      </c>
      <c r="F18" s="30">
        <f>_xlfn.XLOOKUP(Table62348[[#This Row],[No.]],Sheet2!B:B,Sheet2!D:D)</f>
        <v>0</v>
      </c>
      <c r="G18" s="37">
        <v>0</v>
      </c>
      <c r="H18" s="51">
        <v>0</v>
      </c>
      <c r="I18" s="51">
        <v>0</v>
      </c>
      <c r="J18" s="51">
        <v>0</v>
      </c>
      <c r="K18" s="49">
        <f>SUM(Table62348[[#This Row],[SARMC 1]:[SARMC 4]])</f>
        <v>0</v>
      </c>
      <c r="L18" s="37">
        <v>0</v>
      </c>
      <c r="M18" s="51">
        <v>0</v>
      </c>
      <c r="N18" s="38">
        <v>0</v>
      </c>
      <c r="O18" s="37">
        <v>0</v>
      </c>
      <c r="P18" s="51">
        <v>0</v>
      </c>
      <c r="Q18" s="38">
        <v>0</v>
      </c>
      <c r="R18" s="37">
        <v>0</v>
      </c>
      <c r="S18" s="51">
        <v>0</v>
      </c>
      <c r="T18" s="38">
        <v>0</v>
      </c>
      <c r="U18" s="37">
        <v>0</v>
      </c>
      <c r="V18" s="51">
        <v>0</v>
      </c>
      <c r="W18" s="51">
        <v>0</v>
      </c>
      <c r="X18" s="38">
        <v>0</v>
      </c>
      <c r="Y18" s="37">
        <f>LARGE((Table62348[[#This Row],[K1]:[Z4]]),1)</f>
        <v>0</v>
      </c>
      <c r="Z18" s="51">
        <f>LARGE((Table62348[[#This Row],[K1]:[Z4]]),2)</f>
        <v>0</v>
      </c>
      <c r="AA18" s="51">
        <f>LARGE((Table62348[[#This Row],[K1]:[Z4]]),3)</f>
        <v>0</v>
      </c>
      <c r="AB18" s="51">
        <f>LARGE((Table62348[[#This Row],[K1]:[Z4]]),4)</f>
        <v>0</v>
      </c>
      <c r="AC18" s="51">
        <f>LARGE((Table62348[[#This Row],[K1]:[Z4]]),5)</f>
        <v>0</v>
      </c>
      <c r="AD18" s="51">
        <f>LARGE((Table62348[[#This Row],[K1]:[Z4]]),6)</f>
        <v>0</v>
      </c>
      <c r="AE18" s="51">
        <f>LARGE((Table62348[[#This Row],[K1]:[Z4]]),7)</f>
        <v>0</v>
      </c>
      <c r="AF18" s="51">
        <f>LARGE((Table62348[[#This Row],[K1]:[Z4]]),8)</f>
        <v>0</v>
      </c>
      <c r="AG18" s="51">
        <f>LARGE((Table62348[[#This Row],[K1]:[Z4]]),9)</f>
        <v>0</v>
      </c>
      <c r="AH18" s="38">
        <f>LARGE((Table62348[[#This Row],[K1]:[Z4]]),10)</f>
        <v>0</v>
      </c>
      <c r="AI18" s="45">
        <f t="shared" si="0"/>
        <v>0</v>
      </c>
      <c r="AJ18" s="37">
        <f t="shared" si="1"/>
        <v>0</v>
      </c>
      <c r="AK18" s="11"/>
    </row>
    <row r="19" spans="1:37" ht="14.4" hidden="1" x14ac:dyDescent="0.3">
      <c r="A19" s="59">
        <v>16</v>
      </c>
      <c r="B19" s="51"/>
      <c r="C19">
        <f>_xlfn.XLOOKUP(Table62348[[#This Row],[No.]],Sheet2!B:B,Sheet2!C:C)</f>
        <v>0</v>
      </c>
      <c r="D19" s="52">
        <f>_xlfn.XLOOKUP(Table62348[[#This Row],[No.]],Sheet2!B:B,Sheet2!G:G)</f>
        <v>0</v>
      </c>
      <c r="E19" s="51">
        <f>_xlfn.XLOOKUP(Table62348[[#This Row],[No.]],Sheet2!B:B,Sheet2!H:H)</f>
        <v>0</v>
      </c>
      <c r="F19" s="30">
        <f>_xlfn.XLOOKUP(Table62348[[#This Row],[No.]],Sheet2!B:B,Sheet2!D:D)</f>
        <v>0</v>
      </c>
      <c r="G19" s="37">
        <v>0</v>
      </c>
      <c r="H19" s="51">
        <v>0</v>
      </c>
      <c r="I19" s="51">
        <v>0</v>
      </c>
      <c r="J19" s="51">
        <v>0</v>
      </c>
      <c r="K19" s="49">
        <f>SUM(Table62348[[#This Row],[SARMC 1]:[SARMC 4]])</f>
        <v>0</v>
      </c>
      <c r="L19" s="37">
        <v>0</v>
      </c>
      <c r="M19" s="51">
        <v>0</v>
      </c>
      <c r="N19" s="38">
        <v>0</v>
      </c>
      <c r="O19" s="37">
        <v>0</v>
      </c>
      <c r="P19" s="51">
        <v>0</v>
      </c>
      <c r="Q19" s="38">
        <v>0</v>
      </c>
      <c r="R19" s="37">
        <v>0</v>
      </c>
      <c r="S19" s="51">
        <v>0</v>
      </c>
      <c r="T19" s="38">
        <v>0</v>
      </c>
      <c r="U19" s="37">
        <v>0</v>
      </c>
      <c r="V19" s="51">
        <v>0</v>
      </c>
      <c r="W19" s="51">
        <v>0</v>
      </c>
      <c r="X19" s="38">
        <v>0</v>
      </c>
      <c r="Y19" s="37">
        <f>LARGE((Table62348[[#This Row],[K1]:[Z4]]),1)</f>
        <v>0</v>
      </c>
      <c r="Z19" s="51">
        <f>LARGE((Table62348[[#This Row],[K1]:[Z4]]),2)</f>
        <v>0</v>
      </c>
      <c r="AA19" s="51">
        <f>LARGE((Table62348[[#This Row],[K1]:[Z4]]),3)</f>
        <v>0</v>
      </c>
      <c r="AB19" s="51">
        <f>LARGE((Table62348[[#This Row],[K1]:[Z4]]),4)</f>
        <v>0</v>
      </c>
      <c r="AC19" s="51">
        <f>LARGE((Table62348[[#This Row],[K1]:[Z4]]),5)</f>
        <v>0</v>
      </c>
      <c r="AD19" s="51">
        <f>LARGE((Table62348[[#This Row],[K1]:[Z4]]),6)</f>
        <v>0</v>
      </c>
      <c r="AE19" s="51">
        <f>LARGE((Table62348[[#This Row],[K1]:[Z4]]),7)</f>
        <v>0</v>
      </c>
      <c r="AF19" s="51">
        <f>LARGE((Table62348[[#This Row],[K1]:[Z4]]),8)</f>
        <v>0</v>
      </c>
      <c r="AG19" s="51">
        <f>LARGE((Table62348[[#This Row],[K1]:[Z4]]),9)</f>
        <v>0</v>
      </c>
      <c r="AH19" s="38">
        <f>LARGE((Table62348[[#This Row],[K1]:[Z4]]),10)</f>
        <v>0</v>
      </c>
      <c r="AI19" s="45">
        <f t="shared" si="0"/>
        <v>0</v>
      </c>
      <c r="AJ19" s="37">
        <f t="shared" si="1"/>
        <v>0</v>
      </c>
      <c r="AK19" s="11"/>
    </row>
    <row r="20" spans="1:37" ht="14.4" hidden="1" x14ac:dyDescent="0.3">
      <c r="A20" s="59">
        <v>17</v>
      </c>
      <c r="B20" s="51"/>
      <c r="C20">
        <f>_xlfn.XLOOKUP(Table62348[[#This Row],[No.]],Sheet2!B:B,Sheet2!C:C)</f>
        <v>0</v>
      </c>
      <c r="D20" s="52">
        <f>_xlfn.XLOOKUP(Table62348[[#This Row],[No.]],Sheet2!B:B,Sheet2!G:G)</f>
        <v>0</v>
      </c>
      <c r="E20" s="51">
        <f>_xlfn.XLOOKUP(Table62348[[#This Row],[No.]],Sheet2!B:B,Sheet2!H:H)</f>
        <v>0</v>
      </c>
      <c r="F20" s="30">
        <f>_xlfn.XLOOKUP(Table62348[[#This Row],[No.]],Sheet2!B:B,Sheet2!D:D)</f>
        <v>0</v>
      </c>
      <c r="G20" s="37">
        <v>0</v>
      </c>
      <c r="H20" s="51">
        <v>0</v>
      </c>
      <c r="I20" s="51">
        <v>0</v>
      </c>
      <c r="J20" s="51">
        <v>0</v>
      </c>
      <c r="K20" s="49">
        <f>SUM(Table62348[[#This Row],[SARMC 1]:[SARMC 4]])</f>
        <v>0</v>
      </c>
      <c r="L20" s="37">
        <v>0</v>
      </c>
      <c r="M20" s="51">
        <v>0</v>
      </c>
      <c r="N20" s="38">
        <v>0</v>
      </c>
      <c r="O20" s="37">
        <v>0</v>
      </c>
      <c r="P20" s="51">
        <v>0</v>
      </c>
      <c r="Q20" s="38">
        <v>0</v>
      </c>
      <c r="R20" s="37">
        <v>0</v>
      </c>
      <c r="S20" s="51">
        <v>0</v>
      </c>
      <c r="T20" s="38">
        <v>0</v>
      </c>
      <c r="U20" s="37">
        <v>0</v>
      </c>
      <c r="V20" s="51">
        <v>0</v>
      </c>
      <c r="W20" s="51">
        <v>0</v>
      </c>
      <c r="X20" s="38">
        <v>0</v>
      </c>
      <c r="Y20" s="37">
        <f>LARGE((Table62348[[#This Row],[K1]:[Z4]]),1)</f>
        <v>0</v>
      </c>
      <c r="Z20" s="51">
        <f>LARGE((Table62348[[#This Row],[K1]:[Z4]]),2)</f>
        <v>0</v>
      </c>
      <c r="AA20" s="51">
        <f>LARGE((Table62348[[#This Row],[K1]:[Z4]]),3)</f>
        <v>0</v>
      </c>
      <c r="AB20" s="51">
        <f>LARGE((Table62348[[#This Row],[K1]:[Z4]]),4)</f>
        <v>0</v>
      </c>
      <c r="AC20" s="51">
        <f>LARGE((Table62348[[#This Row],[K1]:[Z4]]),5)</f>
        <v>0</v>
      </c>
      <c r="AD20" s="51">
        <f>LARGE((Table62348[[#This Row],[K1]:[Z4]]),6)</f>
        <v>0</v>
      </c>
      <c r="AE20" s="51">
        <f>LARGE((Table62348[[#This Row],[K1]:[Z4]]),7)</f>
        <v>0</v>
      </c>
      <c r="AF20" s="51">
        <f>LARGE((Table62348[[#This Row],[K1]:[Z4]]),8)</f>
        <v>0</v>
      </c>
      <c r="AG20" s="51">
        <f>LARGE((Table62348[[#This Row],[K1]:[Z4]]),9)</f>
        <v>0</v>
      </c>
      <c r="AH20" s="38">
        <f>LARGE((Table62348[[#This Row],[K1]:[Z4]]),10)</f>
        <v>0</v>
      </c>
      <c r="AI20" s="45">
        <f t="shared" si="0"/>
        <v>0</v>
      </c>
      <c r="AJ20" s="37">
        <f t="shared" si="1"/>
        <v>0</v>
      </c>
      <c r="AK20" s="11"/>
    </row>
    <row r="21" spans="1:37" ht="14.4" hidden="1" x14ac:dyDescent="0.3">
      <c r="A21" s="59">
        <v>18</v>
      </c>
      <c r="B21" s="51"/>
      <c r="C21">
        <f>_xlfn.XLOOKUP(Table62348[[#This Row],[No.]],Sheet2!B:B,Sheet2!C:C)</f>
        <v>0</v>
      </c>
      <c r="D21" s="52">
        <f>_xlfn.XLOOKUP(Table62348[[#This Row],[No.]],Sheet2!B:B,Sheet2!G:G)</f>
        <v>0</v>
      </c>
      <c r="E21" s="51">
        <f>_xlfn.XLOOKUP(Table62348[[#This Row],[No.]],Sheet2!B:B,Sheet2!H:H)</f>
        <v>0</v>
      </c>
      <c r="F21" s="30">
        <f>_xlfn.XLOOKUP(Table62348[[#This Row],[No.]],Sheet2!B:B,Sheet2!D:D)</f>
        <v>0</v>
      </c>
      <c r="G21" s="37">
        <v>0</v>
      </c>
      <c r="H21" s="51">
        <v>0</v>
      </c>
      <c r="I21" s="51">
        <v>0</v>
      </c>
      <c r="J21" s="51">
        <v>0</v>
      </c>
      <c r="K21" s="49">
        <f>SUM(Table62348[[#This Row],[SARMC 1]:[SARMC 4]])</f>
        <v>0</v>
      </c>
      <c r="L21" s="37">
        <v>0</v>
      </c>
      <c r="M21" s="51">
        <v>0</v>
      </c>
      <c r="N21" s="38">
        <v>0</v>
      </c>
      <c r="O21" s="37">
        <v>0</v>
      </c>
      <c r="P21" s="51">
        <v>0</v>
      </c>
      <c r="Q21" s="38">
        <v>0</v>
      </c>
      <c r="R21" s="37">
        <v>0</v>
      </c>
      <c r="S21" s="51">
        <v>0</v>
      </c>
      <c r="T21" s="38">
        <v>0</v>
      </c>
      <c r="U21" s="37">
        <v>0</v>
      </c>
      <c r="V21" s="51">
        <v>0</v>
      </c>
      <c r="W21" s="51">
        <v>0</v>
      </c>
      <c r="X21" s="38">
        <v>0</v>
      </c>
      <c r="Y21" s="37">
        <f>LARGE((Table62348[[#This Row],[K1]:[Z4]]),1)</f>
        <v>0</v>
      </c>
      <c r="Z21" s="51">
        <f>LARGE((Table62348[[#This Row],[K1]:[Z4]]),2)</f>
        <v>0</v>
      </c>
      <c r="AA21" s="51">
        <f>LARGE((Table62348[[#This Row],[K1]:[Z4]]),3)</f>
        <v>0</v>
      </c>
      <c r="AB21" s="51">
        <f>LARGE((Table62348[[#This Row],[K1]:[Z4]]),4)</f>
        <v>0</v>
      </c>
      <c r="AC21" s="51">
        <f>LARGE((Table62348[[#This Row],[K1]:[Z4]]),5)</f>
        <v>0</v>
      </c>
      <c r="AD21" s="51">
        <f>LARGE((Table62348[[#This Row],[K1]:[Z4]]),6)</f>
        <v>0</v>
      </c>
      <c r="AE21" s="51">
        <f>LARGE((Table62348[[#This Row],[K1]:[Z4]]),7)</f>
        <v>0</v>
      </c>
      <c r="AF21" s="51">
        <f>LARGE((Table62348[[#This Row],[K1]:[Z4]]),8)</f>
        <v>0</v>
      </c>
      <c r="AG21" s="51">
        <f>LARGE((Table62348[[#This Row],[K1]:[Z4]]),9)</f>
        <v>0</v>
      </c>
      <c r="AH21" s="38">
        <f>LARGE((Table62348[[#This Row],[K1]:[Z4]]),10)</f>
        <v>0</v>
      </c>
      <c r="AI21" s="45">
        <f t="shared" si="0"/>
        <v>0</v>
      </c>
      <c r="AJ21" s="37">
        <f t="shared" si="1"/>
        <v>0</v>
      </c>
      <c r="AK21" s="11"/>
    </row>
    <row r="22" spans="1:37" ht="14.4" hidden="1" x14ac:dyDescent="0.3">
      <c r="A22" s="59">
        <v>19</v>
      </c>
      <c r="B22" s="51"/>
      <c r="C22">
        <f>_xlfn.XLOOKUP(Table62348[[#This Row],[No.]],Sheet2!B:B,Sheet2!C:C)</f>
        <v>0</v>
      </c>
      <c r="D22" s="52">
        <f>_xlfn.XLOOKUP(Table62348[[#This Row],[No.]],Sheet2!B:B,Sheet2!G:G)</f>
        <v>0</v>
      </c>
      <c r="E22" s="51">
        <f>_xlfn.XLOOKUP(Table62348[[#This Row],[No.]],Sheet2!B:B,Sheet2!H:H)</f>
        <v>0</v>
      </c>
      <c r="F22" s="30">
        <f>_xlfn.XLOOKUP(Table62348[[#This Row],[No.]],Sheet2!B:B,Sheet2!D:D)</f>
        <v>0</v>
      </c>
      <c r="G22" s="37">
        <v>0</v>
      </c>
      <c r="H22" s="51">
        <v>0</v>
      </c>
      <c r="I22" s="51">
        <v>0</v>
      </c>
      <c r="J22" s="51">
        <v>0</v>
      </c>
      <c r="K22" s="49">
        <f>SUM(Table62348[[#This Row],[SARMC 1]:[SARMC 4]])</f>
        <v>0</v>
      </c>
      <c r="L22" s="37">
        <v>0</v>
      </c>
      <c r="M22" s="51">
        <v>0</v>
      </c>
      <c r="N22" s="38">
        <v>0</v>
      </c>
      <c r="O22" s="37">
        <v>0</v>
      </c>
      <c r="P22" s="51">
        <v>0</v>
      </c>
      <c r="Q22" s="38">
        <v>0</v>
      </c>
      <c r="R22" s="37">
        <v>0</v>
      </c>
      <c r="S22" s="51">
        <v>0</v>
      </c>
      <c r="T22" s="38">
        <v>0</v>
      </c>
      <c r="U22" s="37">
        <v>0</v>
      </c>
      <c r="V22" s="51">
        <v>0</v>
      </c>
      <c r="W22" s="51">
        <v>0</v>
      </c>
      <c r="X22" s="38">
        <v>0</v>
      </c>
      <c r="Y22" s="37">
        <f>LARGE((Table62348[[#This Row],[K1]:[Z4]]),1)</f>
        <v>0</v>
      </c>
      <c r="Z22" s="51">
        <f>LARGE((Table62348[[#This Row],[K1]:[Z4]]),2)</f>
        <v>0</v>
      </c>
      <c r="AA22" s="51">
        <f>LARGE((Table62348[[#This Row],[K1]:[Z4]]),3)</f>
        <v>0</v>
      </c>
      <c r="AB22" s="51">
        <f>LARGE((Table62348[[#This Row],[K1]:[Z4]]),4)</f>
        <v>0</v>
      </c>
      <c r="AC22" s="51">
        <f>LARGE((Table62348[[#This Row],[K1]:[Z4]]),5)</f>
        <v>0</v>
      </c>
      <c r="AD22" s="51">
        <f>LARGE((Table62348[[#This Row],[K1]:[Z4]]),6)</f>
        <v>0</v>
      </c>
      <c r="AE22" s="51">
        <f>LARGE((Table62348[[#This Row],[K1]:[Z4]]),7)</f>
        <v>0</v>
      </c>
      <c r="AF22" s="51">
        <f>LARGE((Table62348[[#This Row],[K1]:[Z4]]),8)</f>
        <v>0</v>
      </c>
      <c r="AG22" s="51">
        <f>LARGE((Table62348[[#This Row],[K1]:[Z4]]),9)</f>
        <v>0</v>
      </c>
      <c r="AH22" s="38">
        <f>LARGE((Table62348[[#This Row],[K1]:[Z4]]),10)</f>
        <v>0</v>
      </c>
      <c r="AI22" s="45">
        <f t="shared" si="0"/>
        <v>0</v>
      </c>
      <c r="AJ22" s="37">
        <f t="shared" si="1"/>
        <v>0</v>
      </c>
      <c r="AK22" s="11"/>
    </row>
    <row r="23" spans="1:37" ht="14.4" hidden="1" x14ac:dyDescent="0.3">
      <c r="A23" s="59">
        <v>20</v>
      </c>
      <c r="B23" s="51"/>
      <c r="C23">
        <f>_xlfn.XLOOKUP(Table62348[[#This Row],[No.]],Sheet2!B:B,Sheet2!C:C)</f>
        <v>0</v>
      </c>
      <c r="D23" s="52">
        <f>_xlfn.XLOOKUP(Table62348[[#This Row],[No.]],Sheet2!B:B,Sheet2!G:G)</f>
        <v>0</v>
      </c>
      <c r="E23" s="51">
        <f>_xlfn.XLOOKUP(Table62348[[#This Row],[No.]],Sheet2!B:B,Sheet2!H:H)</f>
        <v>0</v>
      </c>
      <c r="F23" s="30">
        <f>_xlfn.XLOOKUP(Table62348[[#This Row],[No.]],Sheet2!B:B,Sheet2!D:D)</f>
        <v>0</v>
      </c>
      <c r="G23" s="37">
        <v>0</v>
      </c>
      <c r="H23" s="51">
        <v>0</v>
      </c>
      <c r="I23" s="51">
        <v>0</v>
      </c>
      <c r="J23" s="51">
        <v>0</v>
      </c>
      <c r="K23" s="49">
        <f>SUM(Table62348[[#This Row],[SARMC 1]:[SARMC 4]])</f>
        <v>0</v>
      </c>
      <c r="L23" s="37">
        <v>0</v>
      </c>
      <c r="M23" s="51">
        <v>0</v>
      </c>
      <c r="N23" s="38">
        <v>0</v>
      </c>
      <c r="O23" s="37">
        <v>0</v>
      </c>
      <c r="P23" s="51">
        <v>0</v>
      </c>
      <c r="Q23" s="38">
        <v>0</v>
      </c>
      <c r="R23" s="37">
        <v>0</v>
      </c>
      <c r="S23" s="51">
        <v>0</v>
      </c>
      <c r="T23" s="38">
        <v>0</v>
      </c>
      <c r="U23" s="37">
        <v>0</v>
      </c>
      <c r="V23" s="51">
        <v>0</v>
      </c>
      <c r="W23" s="51">
        <v>0</v>
      </c>
      <c r="X23" s="38">
        <v>0</v>
      </c>
      <c r="Y23" s="37">
        <f>LARGE((Table62348[[#This Row],[K1]:[Z4]]),1)</f>
        <v>0</v>
      </c>
      <c r="Z23" s="51">
        <f>LARGE((Table62348[[#This Row],[K1]:[Z4]]),2)</f>
        <v>0</v>
      </c>
      <c r="AA23" s="51">
        <f>LARGE((Table62348[[#This Row],[K1]:[Z4]]),3)</f>
        <v>0</v>
      </c>
      <c r="AB23" s="51">
        <f>LARGE((Table62348[[#This Row],[K1]:[Z4]]),4)</f>
        <v>0</v>
      </c>
      <c r="AC23" s="51">
        <f>LARGE((Table62348[[#This Row],[K1]:[Z4]]),5)</f>
        <v>0</v>
      </c>
      <c r="AD23" s="51">
        <f>LARGE((Table62348[[#This Row],[K1]:[Z4]]),6)</f>
        <v>0</v>
      </c>
      <c r="AE23" s="51">
        <f>LARGE((Table62348[[#This Row],[K1]:[Z4]]),7)</f>
        <v>0</v>
      </c>
      <c r="AF23" s="51">
        <f>LARGE((Table62348[[#This Row],[K1]:[Z4]]),8)</f>
        <v>0</v>
      </c>
      <c r="AG23" s="51">
        <f>LARGE((Table62348[[#This Row],[K1]:[Z4]]),9)</f>
        <v>0</v>
      </c>
      <c r="AH23" s="38">
        <f>LARGE((Table62348[[#This Row],[K1]:[Z4]]),10)</f>
        <v>0</v>
      </c>
      <c r="AI23" s="45">
        <f t="shared" si="0"/>
        <v>0</v>
      </c>
      <c r="AJ23" s="37">
        <f t="shared" si="1"/>
        <v>0</v>
      </c>
      <c r="AK23" s="11"/>
    </row>
    <row r="24" spans="1:37" ht="14.4" hidden="1" x14ac:dyDescent="0.3">
      <c r="A24" s="59">
        <v>21</v>
      </c>
      <c r="B24" s="51"/>
      <c r="C24">
        <f>_xlfn.XLOOKUP(Table62348[[#This Row],[No.]],Sheet2!B:B,Sheet2!C:C)</f>
        <v>0</v>
      </c>
      <c r="D24" s="52">
        <f>_xlfn.XLOOKUP(Table62348[[#This Row],[No.]],Sheet2!B:B,Sheet2!G:G)</f>
        <v>0</v>
      </c>
      <c r="E24" s="51">
        <f>_xlfn.XLOOKUP(Table62348[[#This Row],[No.]],Sheet2!B:B,Sheet2!H:H)</f>
        <v>0</v>
      </c>
      <c r="F24" s="30">
        <f>_xlfn.XLOOKUP(Table62348[[#This Row],[No.]],Sheet2!B:B,Sheet2!D:D)</f>
        <v>0</v>
      </c>
      <c r="G24" s="37">
        <v>0</v>
      </c>
      <c r="H24" s="51">
        <v>0</v>
      </c>
      <c r="I24" s="51">
        <v>0</v>
      </c>
      <c r="J24" s="51">
        <v>0</v>
      </c>
      <c r="K24" s="49">
        <f>SUM(Table62348[[#This Row],[SARMC 1]:[SARMC 4]])</f>
        <v>0</v>
      </c>
      <c r="L24" s="37">
        <v>0</v>
      </c>
      <c r="M24" s="51">
        <v>0</v>
      </c>
      <c r="N24" s="38">
        <v>0</v>
      </c>
      <c r="O24" s="37">
        <v>0</v>
      </c>
      <c r="P24" s="51">
        <v>0</v>
      </c>
      <c r="Q24" s="38">
        <v>0</v>
      </c>
      <c r="R24" s="37">
        <v>0</v>
      </c>
      <c r="S24" s="51">
        <v>0</v>
      </c>
      <c r="T24" s="38">
        <v>0</v>
      </c>
      <c r="U24" s="37">
        <v>0</v>
      </c>
      <c r="V24" s="51">
        <v>0</v>
      </c>
      <c r="W24" s="51">
        <v>0</v>
      </c>
      <c r="X24" s="38">
        <v>0</v>
      </c>
      <c r="Y24" s="37">
        <f>LARGE((Table62348[[#This Row],[K1]:[Z4]]),1)</f>
        <v>0</v>
      </c>
      <c r="Z24" s="51">
        <f>LARGE((Table62348[[#This Row],[K1]:[Z4]]),2)</f>
        <v>0</v>
      </c>
      <c r="AA24" s="51">
        <f>LARGE((Table62348[[#This Row],[K1]:[Z4]]),3)</f>
        <v>0</v>
      </c>
      <c r="AB24" s="51">
        <f>LARGE((Table62348[[#This Row],[K1]:[Z4]]),4)</f>
        <v>0</v>
      </c>
      <c r="AC24" s="51">
        <f>LARGE((Table62348[[#This Row],[K1]:[Z4]]),5)</f>
        <v>0</v>
      </c>
      <c r="AD24" s="51">
        <f>LARGE((Table62348[[#This Row],[K1]:[Z4]]),6)</f>
        <v>0</v>
      </c>
      <c r="AE24" s="51">
        <f>LARGE((Table62348[[#This Row],[K1]:[Z4]]),7)</f>
        <v>0</v>
      </c>
      <c r="AF24" s="51">
        <f>LARGE((Table62348[[#This Row],[K1]:[Z4]]),8)</f>
        <v>0</v>
      </c>
      <c r="AG24" s="51">
        <f>LARGE((Table62348[[#This Row],[K1]:[Z4]]),9)</f>
        <v>0</v>
      </c>
      <c r="AH24" s="38">
        <f>LARGE((Table62348[[#This Row],[K1]:[Z4]]),10)</f>
        <v>0</v>
      </c>
      <c r="AI24" s="45">
        <f t="shared" si="0"/>
        <v>0</v>
      </c>
      <c r="AJ24" s="37">
        <f t="shared" si="1"/>
        <v>0</v>
      </c>
      <c r="AK24" s="11"/>
    </row>
    <row r="25" spans="1:37" ht="14.4" hidden="1" x14ac:dyDescent="0.3">
      <c r="A25" s="59">
        <v>22</v>
      </c>
      <c r="B25" s="51"/>
      <c r="C25">
        <f>_xlfn.XLOOKUP(Table62348[[#This Row],[No.]],Sheet2!B:B,Sheet2!C:C)</f>
        <v>0</v>
      </c>
      <c r="D25" s="52">
        <f>_xlfn.XLOOKUP(Table62348[[#This Row],[No.]],Sheet2!B:B,Sheet2!G:G)</f>
        <v>0</v>
      </c>
      <c r="E25" s="51">
        <f>_xlfn.XLOOKUP(Table62348[[#This Row],[No.]],Sheet2!B:B,Sheet2!H:H)</f>
        <v>0</v>
      </c>
      <c r="F25" s="30">
        <f>_xlfn.XLOOKUP(Table62348[[#This Row],[No.]],Sheet2!B:B,Sheet2!D:D)</f>
        <v>0</v>
      </c>
      <c r="G25" s="37">
        <v>0</v>
      </c>
      <c r="H25" s="51">
        <v>0</v>
      </c>
      <c r="I25" s="51">
        <v>0</v>
      </c>
      <c r="J25" s="51">
        <v>0</v>
      </c>
      <c r="K25" s="49">
        <f>SUM(Table62348[[#This Row],[SARMC 1]:[SARMC 4]])</f>
        <v>0</v>
      </c>
      <c r="L25" s="37">
        <v>0</v>
      </c>
      <c r="M25" s="51">
        <v>0</v>
      </c>
      <c r="N25" s="38">
        <v>0</v>
      </c>
      <c r="O25" s="37">
        <v>0</v>
      </c>
      <c r="P25" s="51">
        <v>0</v>
      </c>
      <c r="Q25" s="38">
        <v>0</v>
      </c>
      <c r="R25" s="37">
        <v>0</v>
      </c>
      <c r="S25" s="51">
        <v>0</v>
      </c>
      <c r="T25" s="38">
        <v>0</v>
      </c>
      <c r="U25" s="37">
        <v>0</v>
      </c>
      <c r="V25" s="51">
        <v>0</v>
      </c>
      <c r="W25" s="51">
        <v>0</v>
      </c>
      <c r="X25" s="38">
        <v>0</v>
      </c>
      <c r="Y25" s="37">
        <f>LARGE((Table62348[[#This Row],[K1]:[Z4]]),1)</f>
        <v>0</v>
      </c>
      <c r="Z25" s="51">
        <f>LARGE((Table62348[[#This Row],[K1]:[Z4]]),2)</f>
        <v>0</v>
      </c>
      <c r="AA25" s="51">
        <f>LARGE((Table62348[[#This Row],[K1]:[Z4]]),3)</f>
        <v>0</v>
      </c>
      <c r="AB25" s="51">
        <f>LARGE((Table62348[[#This Row],[K1]:[Z4]]),4)</f>
        <v>0</v>
      </c>
      <c r="AC25" s="51">
        <f>LARGE((Table62348[[#This Row],[K1]:[Z4]]),5)</f>
        <v>0</v>
      </c>
      <c r="AD25" s="51">
        <f>LARGE((Table62348[[#This Row],[K1]:[Z4]]),6)</f>
        <v>0</v>
      </c>
      <c r="AE25" s="51">
        <f>LARGE((Table62348[[#This Row],[K1]:[Z4]]),7)</f>
        <v>0</v>
      </c>
      <c r="AF25" s="51">
        <f>LARGE((Table62348[[#This Row],[K1]:[Z4]]),8)</f>
        <v>0</v>
      </c>
      <c r="AG25" s="51">
        <f>LARGE((Table62348[[#This Row],[K1]:[Z4]]),9)</f>
        <v>0</v>
      </c>
      <c r="AH25" s="38">
        <f>LARGE((Table62348[[#This Row],[K1]:[Z4]]),10)</f>
        <v>0</v>
      </c>
      <c r="AI25" s="45">
        <f t="shared" si="0"/>
        <v>0</v>
      </c>
      <c r="AJ25" s="37">
        <f t="shared" si="1"/>
        <v>0</v>
      </c>
      <c r="AK25" s="11"/>
    </row>
    <row r="26" spans="1:37" ht="14.4" hidden="1" x14ac:dyDescent="0.3">
      <c r="A26" s="59">
        <v>23</v>
      </c>
      <c r="B26" s="51"/>
      <c r="C26">
        <f>_xlfn.XLOOKUP(Table62348[[#This Row],[No.]],Sheet2!B:B,Sheet2!C:C)</f>
        <v>0</v>
      </c>
      <c r="D26" s="52">
        <f>_xlfn.XLOOKUP(Table62348[[#This Row],[No.]],Sheet2!B:B,Sheet2!G:G)</f>
        <v>0</v>
      </c>
      <c r="E26" s="51">
        <f>_xlfn.XLOOKUP(Table62348[[#This Row],[No.]],Sheet2!B:B,Sheet2!H:H)</f>
        <v>0</v>
      </c>
      <c r="F26" s="30">
        <f>_xlfn.XLOOKUP(Table62348[[#This Row],[No.]],Sheet2!B:B,Sheet2!D:D)</f>
        <v>0</v>
      </c>
      <c r="G26" s="37">
        <v>0</v>
      </c>
      <c r="H26" s="51">
        <v>0</v>
      </c>
      <c r="I26" s="51">
        <v>0</v>
      </c>
      <c r="J26" s="51">
        <v>0</v>
      </c>
      <c r="K26" s="49">
        <f>SUM(Table62348[[#This Row],[SARMC 1]:[SARMC 4]])</f>
        <v>0</v>
      </c>
      <c r="L26" s="37">
        <v>0</v>
      </c>
      <c r="M26" s="51">
        <v>0</v>
      </c>
      <c r="N26" s="38">
        <v>0</v>
      </c>
      <c r="O26" s="37">
        <v>0</v>
      </c>
      <c r="P26" s="51">
        <v>0</v>
      </c>
      <c r="Q26" s="38">
        <v>0</v>
      </c>
      <c r="R26" s="37">
        <v>0</v>
      </c>
      <c r="S26" s="51">
        <v>0</v>
      </c>
      <c r="T26" s="38">
        <v>0</v>
      </c>
      <c r="U26" s="37">
        <v>0</v>
      </c>
      <c r="V26" s="51">
        <v>0</v>
      </c>
      <c r="W26" s="51">
        <v>0</v>
      </c>
      <c r="X26" s="38">
        <v>0</v>
      </c>
      <c r="Y26" s="37">
        <f>LARGE((Table62348[[#This Row],[K1]:[Z4]]),1)</f>
        <v>0</v>
      </c>
      <c r="Z26" s="51">
        <f>LARGE((Table62348[[#This Row],[K1]:[Z4]]),2)</f>
        <v>0</v>
      </c>
      <c r="AA26" s="51">
        <f>LARGE((Table62348[[#This Row],[K1]:[Z4]]),3)</f>
        <v>0</v>
      </c>
      <c r="AB26" s="51">
        <f>LARGE((Table62348[[#This Row],[K1]:[Z4]]),4)</f>
        <v>0</v>
      </c>
      <c r="AC26" s="51">
        <f>LARGE((Table62348[[#This Row],[K1]:[Z4]]),5)</f>
        <v>0</v>
      </c>
      <c r="AD26" s="51">
        <f>LARGE((Table62348[[#This Row],[K1]:[Z4]]),6)</f>
        <v>0</v>
      </c>
      <c r="AE26" s="51">
        <f>LARGE((Table62348[[#This Row],[K1]:[Z4]]),7)</f>
        <v>0</v>
      </c>
      <c r="AF26" s="51">
        <f>LARGE((Table62348[[#This Row],[K1]:[Z4]]),8)</f>
        <v>0</v>
      </c>
      <c r="AG26" s="51">
        <f>LARGE((Table62348[[#This Row],[K1]:[Z4]]),9)</f>
        <v>0</v>
      </c>
      <c r="AH26" s="38">
        <f>LARGE((Table62348[[#This Row],[K1]:[Z4]]),10)</f>
        <v>0</v>
      </c>
      <c r="AI26" s="45">
        <f t="shared" si="0"/>
        <v>0</v>
      </c>
      <c r="AJ26" s="37">
        <f t="shared" si="1"/>
        <v>0</v>
      </c>
      <c r="AK26" s="11"/>
    </row>
    <row r="27" spans="1:37" ht="14.4" hidden="1" x14ac:dyDescent="0.3">
      <c r="A27" s="59">
        <v>24</v>
      </c>
      <c r="B27" s="51"/>
      <c r="C27">
        <f>_xlfn.XLOOKUP(Table62348[[#This Row],[No.]],Sheet2!B:B,Sheet2!C:C)</f>
        <v>0</v>
      </c>
      <c r="D27" s="52">
        <f>_xlfn.XLOOKUP(Table62348[[#This Row],[No.]],Sheet2!B:B,Sheet2!G:G)</f>
        <v>0</v>
      </c>
      <c r="E27" s="51">
        <f>_xlfn.XLOOKUP(Table62348[[#This Row],[No.]],Sheet2!B:B,Sheet2!H:H)</f>
        <v>0</v>
      </c>
      <c r="F27" s="30">
        <f>_xlfn.XLOOKUP(Table62348[[#This Row],[No.]],Sheet2!B:B,Sheet2!D:D)</f>
        <v>0</v>
      </c>
      <c r="G27" s="37">
        <v>0</v>
      </c>
      <c r="H27" s="51">
        <v>0</v>
      </c>
      <c r="I27" s="51">
        <v>0</v>
      </c>
      <c r="J27" s="51">
        <v>0</v>
      </c>
      <c r="K27" s="49">
        <f>SUM(Table62348[[#This Row],[SARMC 1]:[SARMC 4]])</f>
        <v>0</v>
      </c>
      <c r="L27" s="37">
        <v>0</v>
      </c>
      <c r="M27" s="51">
        <v>0</v>
      </c>
      <c r="N27" s="38">
        <v>0</v>
      </c>
      <c r="O27" s="37">
        <v>0</v>
      </c>
      <c r="P27" s="51">
        <v>0</v>
      </c>
      <c r="Q27" s="38">
        <v>0</v>
      </c>
      <c r="R27" s="37">
        <v>0</v>
      </c>
      <c r="S27" s="51">
        <v>0</v>
      </c>
      <c r="T27" s="38">
        <v>0</v>
      </c>
      <c r="U27" s="37">
        <v>0</v>
      </c>
      <c r="V27" s="51">
        <v>0</v>
      </c>
      <c r="W27" s="51">
        <v>0</v>
      </c>
      <c r="X27" s="38">
        <v>0</v>
      </c>
      <c r="Y27" s="37">
        <f>LARGE((Table62348[[#This Row],[K1]:[Z4]]),1)</f>
        <v>0</v>
      </c>
      <c r="Z27" s="51">
        <f>LARGE((Table62348[[#This Row],[K1]:[Z4]]),2)</f>
        <v>0</v>
      </c>
      <c r="AA27" s="51">
        <f>LARGE((Table62348[[#This Row],[K1]:[Z4]]),3)</f>
        <v>0</v>
      </c>
      <c r="AB27" s="51">
        <f>LARGE((Table62348[[#This Row],[K1]:[Z4]]),4)</f>
        <v>0</v>
      </c>
      <c r="AC27" s="51">
        <f>LARGE((Table62348[[#This Row],[K1]:[Z4]]),5)</f>
        <v>0</v>
      </c>
      <c r="AD27" s="51">
        <f>LARGE((Table62348[[#This Row],[K1]:[Z4]]),6)</f>
        <v>0</v>
      </c>
      <c r="AE27" s="51">
        <f>LARGE((Table62348[[#This Row],[K1]:[Z4]]),7)</f>
        <v>0</v>
      </c>
      <c r="AF27" s="51">
        <f>LARGE((Table62348[[#This Row],[K1]:[Z4]]),8)</f>
        <v>0</v>
      </c>
      <c r="AG27" s="51">
        <f>LARGE((Table62348[[#This Row],[K1]:[Z4]]),9)</f>
        <v>0</v>
      </c>
      <c r="AH27" s="38">
        <f>LARGE((Table62348[[#This Row],[K1]:[Z4]]),10)</f>
        <v>0</v>
      </c>
      <c r="AI27" s="45">
        <f t="shared" si="0"/>
        <v>0</v>
      </c>
      <c r="AJ27" s="37">
        <f t="shared" si="1"/>
        <v>0</v>
      </c>
      <c r="AK27" s="11"/>
    </row>
    <row r="28" spans="1:37" ht="14.4" hidden="1" x14ac:dyDescent="0.3">
      <c r="A28" s="59">
        <v>25</v>
      </c>
      <c r="B28" s="51"/>
      <c r="C28">
        <f>_xlfn.XLOOKUP(Table62348[[#This Row],[No.]],Sheet2!B:B,Sheet2!C:C)</f>
        <v>0</v>
      </c>
      <c r="D28" s="52">
        <f>_xlfn.XLOOKUP(Table62348[[#This Row],[No.]],Sheet2!B:B,Sheet2!G:G)</f>
        <v>0</v>
      </c>
      <c r="E28" s="51">
        <f>_xlfn.XLOOKUP(Table62348[[#This Row],[No.]],Sheet2!B:B,Sheet2!H:H)</f>
        <v>0</v>
      </c>
      <c r="F28" s="30">
        <f>_xlfn.XLOOKUP(Table62348[[#This Row],[No.]],Sheet2!B:B,Sheet2!D:D)</f>
        <v>0</v>
      </c>
      <c r="G28" s="37">
        <v>0</v>
      </c>
      <c r="H28" s="51">
        <v>0</v>
      </c>
      <c r="I28" s="51">
        <v>0</v>
      </c>
      <c r="J28" s="51">
        <v>0</v>
      </c>
      <c r="K28" s="49">
        <f>SUM(Table62348[[#This Row],[SARMC 1]:[SARMC 4]])</f>
        <v>0</v>
      </c>
      <c r="L28" s="37">
        <v>0</v>
      </c>
      <c r="M28" s="51">
        <v>0</v>
      </c>
      <c r="N28" s="38">
        <v>0</v>
      </c>
      <c r="O28" s="37">
        <v>0</v>
      </c>
      <c r="P28" s="51">
        <v>0</v>
      </c>
      <c r="Q28" s="38">
        <v>0</v>
      </c>
      <c r="R28" s="37">
        <v>0</v>
      </c>
      <c r="S28" s="51">
        <v>0</v>
      </c>
      <c r="T28" s="38">
        <v>0</v>
      </c>
      <c r="U28" s="37">
        <v>0</v>
      </c>
      <c r="V28" s="51">
        <v>0</v>
      </c>
      <c r="W28" s="51">
        <v>0</v>
      </c>
      <c r="X28" s="38">
        <v>0</v>
      </c>
      <c r="Y28" s="37">
        <f>LARGE((Table62348[[#This Row],[K1]:[Z4]]),1)</f>
        <v>0</v>
      </c>
      <c r="Z28" s="51">
        <f>LARGE((Table62348[[#This Row],[K1]:[Z4]]),2)</f>
        <v>0</v>
      </c>
      <c r="AA28" s="51">
        <f>LARGE((Table62348[[#This Row],[K1]:[Z4]]),3)</f>
        <v>0</v>
      </c>
      <c r="AB28" s="51">
        <f>LARGE((Table62348[[#This Row],[K1]:[Z4]]),4)</f>
        <v>0</v>
      </c>
      <c r="AC28" s="51">
        <f>LARGE((Table62348[[#This Row],[K1]:[Z4]]),5)</f>
        <v>0</v>
      </c>
      <c r="AD28" s="51">
        <f>LARGE((Table62348[[#This Row],[K1]:[Z4]]),6)</f>
        <v>0</v>
      </c>
      <c r="AE28" s="51">
        <f>LARGE((Table62348[[#This Row],[K1]:[Z4]]),7)</f>
        <v>0</v>
      </c>
      <c r="AF28" s="51">
        <f>LARGE((Table62348[[#This Row],[K1]:[Z4]]),8)</f>
        <v>0</v>
      </c>
      <c r="AG28" s="51">
        <f>LARGE((Table62348[[#This Row],[K1]:[Z4]]),9)</f>
        <v>0</v>
      </c>
      <c r="AH28" s="38">
        <f>LARGE((Table62348[[#This Row],[K1]:[Z4]]),10)</f>
        <v>0</v>
      </c>
      <c r="AI28" s="45">
        <f t="shared" si="0"/>
        <v>0</v>
      </c>
      <c r="AJ28" s="37">
        <f t="shared" si="1"/>
        <v>0</v>
      </c>
      <c r="AK28" s="11"/>
    </row>
    <row r="29" spans="1:37" ht="14.4" hidden="1" x14ac:dyDescent="0.3">
      <c r="A29" s="59">
        <v>26</v>
      </c>
      <c r="B29" s="51"/>
      <c r="C29">
        <f>_xlfn.XLOOKUP(Table62348[[#This Row],[No.]],Sheet2!B:B,Sheet2!C:C)</f>
        <v>0</v>
      </c>
      <c r="D29" s="52">
        <f>_xlfn.XLOOKUP(Table62348[[#This Row],[No.]],Sheet2!B:B,Sheet2!G:G)</f>
        <v>0</v>
      </c>
      <c r="E29" s="51">
        <f>_xlfn.XLOOKUP(Table62348[[#This Row],[No.]],Sheet2!B:B,Sheet2!H:H)</f>
        <v>0</v>
      </c>
      <c r="F29" s="30">
        <f>_xlfn.XLOOKUP(Table62348[[#This Row],[No.]],Sheet2!B:B,Sheet2!D:D)</f>
        <v>0</v>
      </c>
      <c r="G29" s="37">
        <v>0</v>
      </c>
      <c r="H29" s="51">
        <v>0</v>
      </c>
      <c r="I29" s="51">
        <v>0</v>
      </c>
      <c r="J29" s="51">
        <v>0</v>
      </c>
      <c r="K29" s="49">
        <f>SUM(Table62348[[#This Row],[SARMC 1]:[SARMC 4]])</f>
        <v>0</v>
      </c>
      <c r="L29" s="37">
        <v>0</v>
      </c>
      <c r="M29" s="51">
        <v>0</v>
      </c>
      <c r="N29" s="38">
        <v>0</v>
      </c>
      <c r="O29" s="37">
        <v>0</v>
      </c>
      <c r="P29" s="51">
        <v>0</v>
      </c>
      <c r="Q29" s="38">
        <v>0</v>
      </c>
      <c r="R29" s="37">
        <v>0</v>
      </c>
      <c r="S29" s="51">
        <v>0</v>
      </c>
      <c r="T29" s="38">
        <v>0</v>
      </c>
      <c r="U29" s="37">
        <v>0</v>
      </c>
      <c r="V29" s="51">
        <v>0</v>
      </c>
      <c r="W29" s="51">
        <v>0</v>
      </c>
      <c r="X29" s="38">
        <v>0</v>
      </c>
      <c r="Y29" s="37">
        <f>LARGE((Table62348[[#This Row],[K1]:[Z4]]),1)</f>
        <v>0</v>
      </c>
      <c r="Z29" s="51">
        <f>LARGE((Table62348[[#This Row],[K1]:[Z4]]),2)</f>
        <v>0</v>
      </c>
      <c r="AA29" s="51">
        <f>LARGE((Table62348[[#This Row],[K1]:[Z4]]),3)</f>
        <v>0</v>
      </c>
      <c r="AB29" s="51">
        <f>LARGE((Table62348[[#This Row],[K1]:[Z4]]),4)</f>
        <v>0</v>
      </c>
      <c r="AC29" s="51">
        <f>LARGE((Table62348[[#This Row],[K1]:[Z4]]),5)</f>
        <v>0</v>
      </c>
      <c r="AD29" s="51">
        <f>LARGE((Table62348[[#This Row],[K1]:[Z4]]),6)</f>
        <v>0</v>
      </c>
      <c r="AE29" s="51">
        <f>LARGE((Table62348[[#This Row],[K1]:[Z4]]),7)</f>
        <v>0</v>
      </c>
      <c r="AF29" s="51">
        <f>LARGE((Table62348[[#This Row],[K1]:[Z4]]),8)</f>
        <v>0</v>
      </c>
      <c r="AG29" s="51">
        <f>LARGE((Table62348[[#This Row],[K1]:[Z4]]),9)</f>
        <v>0</v>
      </c>
      <c r="AH29" s="38">
        <f>LARGE((Table62348[[#This Row],[K1]:[Z4]]),10)</f>
        <v>0</v>
      </c>
      <c r="AI29" s="45">
        <f t="shared" si="0"/>
        <v>0</v>
      </c>
      <c r="AJ29" s="37">
        <f t="shared" si="1"/>
        <v>0</v>
      </c>
      <c r="AK29" s="11"/>
    </row>
    <row r="30" spans="1:37" ht="14.4" hidden="1" x14ac:dyDescent="0.3">
      <c r="A30" s="59">
        <v>27</v>
      </c>
      <c r="B30" s="51"/>
      <c r="C30">
        <f>_xlfn.XLOOKUP(Table62348[[#This Row],[No.]],Sheet2!B:B,Sheet2!C:C)</f>
        <v>0</v>
      </c>
      <c r="D30" s="52">
        <f>_xlfn.XLOOKUP(Table62348[[#This Row],[No.]],Sheet2!B:B,Sheet2!G:G)</f>
        <v>0</v>
      </c>
      <c r="E30" s="51">
        <f>_xlfn.XLOOKUP(Table62348[[#This Row],[No.]],Sheet2!B:B,Sheet2!H:H)</f>
        <v>0</v>
      </c>
      <c r="F30" s="30">
        <f>_xlfn.XLOOKUP(Table62348[[#This Row],[No.]],Sheet2!B:B,Sheet2!D:D)</f>
        <v>0</v>
      </c>
      <c r="G30" s="37">
        <v>0</v>
      </c>
      <c r="H30" s="51">
        <v>0</v>
      </c>
      <c r="I30" s="51">
        <v>0</v>
      </c>
      <c r="J30" s="51">
        <v>0</v>
      </c>
      <c r="K30" s="49">
        <f>SUM(Table62348[[#This Row],[SARMC 1]:[SARMC 4]])</f>
        <v>0</v>
      </c>
      <c r="L30" s="37">
        <v>0</v>
      </c>
      <c r="M30" s="51">
        <v>0</v>
      </c>
      <c r="N30" s="38">
        <v>0</v>
      </c>
      <c r="O30" s="37">
        <v>0</v>
      </c>
      <c r="P30" s="51">
        <v>0</v>
      </c>
      <c r="Q30" s="38">
        <v>0</v>
      </c>
      <c r="R30" s="37">
        <v>0</v>
      </c>
      <c r="S30" s="51">
        <v>0</v>
      </c>
      <c r="T30" s="38">
        <v>0</v>
      </c>
      <c r="U30" s="37">
        <v>0</v>
      </c>
      <c r="V30" s="51">
        <v>0</v>
      </c>
      <c r="W30" s="51">
        <v>0</v>
      </c>
      <c r="X30" s="38">
        <v>0</v>
      </c>
      <c r="Y30" s="37">
        <f>LARGE((Table62348[[#This Row],[K1]:[Z4]]),1)</f>
        <v>0</v>
      </c>
      <c r="Z30" s="51">
        <f>LARGE((Table62348[[#This Row],[K1]:[Z4]]),2)</f>
        <v>0</v>
      </c>
      <c r="AA30" s="51">
        <f>LARGE((Table62348[[#This Row],[K1]:[Z4]]),3)</f>
        <v>0</v>
      </c>
      <c r="AB30" s="51">
        <f>LARGE((Table62348[[#This Row],[K1]:[Z4]]),4)</f>
        <v>0</v>
      </c>
      <c r="AC30" s="51">
        <f>LARGE((Table62348[[#This Row],[K1]:[Z4]]),5)</f>
        <v>0</v>
      </c>
      <c r="AD30" s="51">
        <f>LARGE((Table62348[[#This Row],[K1]:[Z4]]),6)</f>
        <v>0</v>
      </c>
      <c r="AE30" s="51">
        <f>LARGE((Table62348[[#This Row],[K1]:[Z4]]),7)</f>
        <v>0</v>
      </c>
      <c r="AF30" s="51">
        <f>LARGE((Table62348[[#This Row],[K1]:[Z4]]),8)</f>
        <v>0</v>
      </c>
      <c r="AG30" s="51">
        <f>LARGE((Table62348[[#This Row],[K1]:[Z4]]),9)</f>
        <v>0</v>
      </c>
      <c r="AH30" s="38">
        <f>LARGE((Table62348[[#This Row],[K1]:[Z4]]),10)</f>
        <v>0</v>
      </c>
      <c r="AI30" s="45">
        <f t="shared" si="0"/>
        <v>0</v>
      </c>
      <c r="AJ30" s="37">
        <f t="shared" si="1"/>
        <v>0</v>
      </c>
      <c r="AK30" s="11"/>
    </row>
    <row r="31" spans="1:37" ht="14.4" hidden="1" x14ac:dyDescent="0.3">
      <c r="A31" s="59">
        <v>28</v>
      </c>
      <c r="B31" s="51"/>
      <c r="C31">
        <f>_xlfn.XLOOKUP(Table62348[[#This Row],[No.]],Sheet2!B:B,Sheet2!C:C)</f>
        <v>0</v>
      </c>
      <c r="D31" s="52">
        <f>_xlfn.XLOOKUP(Table62348[[#This Row],[No.]],Sheet2!B:B,Sheet2!G:G)</f>
        <v>0</v>
      </c>
      <c r="E31" s="51">
        <f>_xlfn.XLOOKUP(Table62348[[#This Row],[No.]],Sheet2!B:B,Sheet2!H:H)</f>
        <v>0</v>
      </c>
      <c r="F31" s="30">
        <f>_xlfn.XLOOKUP(Table62348[[#This Row],[No.]],Sheet2!B:B,Sheet2!D:D)</f>
        <v>0</v>
      </c>
      <c r="G31" s="37">
        <v>0</v>
      </c>
      <c r="H31" s="51">
        <v>0</v>
      </c>
      <c r="I31" s="51">
        <v>0</v>
      </c>
      <c r="J31" s="51">
        <v>0</v>
      </c>
      <c r="K31" s="49">
        <f>SUM(Table62348[[#This Row],[SARMC 1]:[SARMC 4]])</f>
        <v>0</v>
      </c>
      <c r="L31" s="37">
        <v>0</v>
      </c>
      <c r="M31" s="51">
        <v>0</v>
      </c>
      <c r="N31" s="38">
        <v>0</v>
      </c>
      <c r="O31" s="37">
        <v>0</v>
      </c>
      <c r="P31" s="51">
        <v>0</v>
      </c>
      <c r="Q31" s="38">
        <v>0</v>
      </c>
      <c r="R31" s="37">
        <v>0</v>
      </c>
      <c r="S31" s="51">
        <v>0</v>
      </c>
      <c r="T31" s="38">
        <v>0</v>
      </c>
      <c r="U31" s="37">
        <v>0</v>
      </c>
      <c r="V31" s="51">
        <v>0</v>
      </c>
      <c r="W31" s="51">
        <v>0</v>
      </c>
      <c r="X31" s="38">
        <v>0</v>
      </c>
      <c r="Y31" s="37">
        <f>LARGE((Table62348[[#This Row],[K1]:[Z4]]),1)</f>
        <v>0</v>
      </c>
      <c r="Z31" s="51">
        <f>LARGE((Table62348[[#This Row],[K1]:[Z4]]),2)</f>
        <v>0</v>
      </c>
      <c r="AA31" s="51">
        <f>LARGE((Table62348[[#This Row],[K1]:[Z4]]),3)</f>
        <v>0</v>
      </c>
      <c r="AB31" s="51">
        <f>LARGE((Table62348[[#This Row],[K1]:[Z4]]),4)</f>
        <v>0</v>
      </c>
      <c r="AC31" s="51">
        <f>LARGE((Table62348[[#This Row],[K1]:[Z4]]),5)</f>
        <v>0</v>
      </c>
      <c r="AD31" s="51">
        <f>LARGE((Table62348[[#This Row],[K1]:[Z4]]),6)</f>
        <v>0</v>
      </c>
      <c r="AE31" s="51">
        <f>LARGE((Table62348[[#This Row],[K1]:[Z4]]),7)</f>
        <v>0</v>
      </c>
      <c r="AF31" s="51">
        <f>LARGE((Table62348[[#This Row],[K1]:[Z4]]),8)</f>
        <v>0</v>
      </c>
      <c r="AG31" s="51">
        <f>LARGE((Table62348[[#This Row],[K1]:[Z4]]),9)</f>
        <v>0</v>
      </c>
      <c r="AH31" s="38">
        <f>LARGE((Table62348[[#This Row],[K1]:[Z4]]),10)</f>
        <v>0</v>
      </c>
      <c r="AI31" s="45">
        <f t="shared" si="0"/>
        <v>0</v>
      </c>
      <c r="AJ31" s="37">
        <f t="shared" si="1"/>
        <v>0</v>
      </c>
      <c r="AK31" s="11"/>
    </row>
    <row r="32" spans="1:37" ht="14.4" hidden="1" x14ac:dyDescent="0.3">
      <c r="A32" s="59">
        <v>29</v>
      </c>
      <c r="B32" s="51"/>
      <c r="C32">
        <f>_xlfn.XLOOKUP(Table62348[[#This Row],[No.]],Sheet2!B:B,Sheet2!C:C)</f>
        <v>0</v>
      </c>
      <c r="D32" s="52">
        <f>_xlfn.XLOOKUP(Table62348[[#This Row],[No.]],Sheet2!B:B,Sheet2!G:G)</f>
        <v>0</v>
      </c>
      <c r="E32" s="51">
        <f>_xlfn.XLOOKUP(Table62348[[#This Row],[No.]],Sheet2!B:B,Sheet2!H:H)</f>
        <v>0</v>
      </c>
      <c r="F32" s="30">
        <f>_xlfn.XLOOKUP(Table62348[[#This Row],[No.]],Sheet2!B:B,Sheet2!D:D)</f>
        <v>0</v>
      </c>
      <c r="G32" s="37">
        <v>0</v>
      </c>
      <c r="H32" s="51">
        <v>0</v>
      </c>
      <c r="I32" s="51">
        <v>0</v>
      </c>
      <c r="J32" s="51">
        <v>0</v>
      </c>
      <c r="K32" s="49">
        <f>SUM(Table62348[[#This Row],[SARMC 1]:[SARMC 4]])</f>
        <v>0</v>
      </c>
      <c r="L32" s="37">
        <v>0</v>
      </c>
      <c r="M32" s="51">
        <v>0</v>
      </c>
      <c r="N32" s="38">
        <v>0</v>
      </c>
      <c r="O32" s="37">
        <v>0</v>
      </c>
      <c r="P32" s="51">
        <v>0</v>
      </c>
      <c r="Q32" s="38">
        <v>0</v>
      </c>
      <c r="R32" s="37">
        <v>0</v>
      </c>
      <c r="S32" s="51">
        <v>0</v>
      </c>
      <c r="T32" s="38">
        <v>0</v>
      </c>
      <c r="U32" s="37">
        <v>0</v>
      </c>
      <c r="V32" s="51">
        <v>0</v>
      </c>
      <c r="W32" s="51">
        <v>0</v>
      </c>
      <c r="X32" s="38">
        <v>0</v>
      </c>
      <c r="Y32" s="37">
        <f>LARGE((Table62348[[#This Row],[K1]:[Z4]]),1)</f>
        <v>0</v>
      </c>
      <c r="Z32" s="51">
        <f>LARGE((Table62348[[#This Row],[K1]:[Z4]]),2)</f>
        <v>0</v>
      </c>
      <c r="AA32" s="51">
        <f>LARGE((Table62348[[#This Row],[K1]:[Z4]]),3)</f>
        <v>0</v>
      </c>
      <c r="AB32" s="51">
        <f>LARGE((Table62348[[#This Row],[K1]:[Z4]]),4)</f>
        <v>0</v>
      </c>
      <c r="AC32" s="51">
        <f>LARGE((Table62348[[#This Row],[K1]:[Z4]]),5)</f>
        <v>0</v>
      </c>
      <c r="AD32" s="51">
        <f>LARGE((Table62348[[#This Row],[K1]:[Z4]]),6)</f>
        <v>0</v>
      </c>
      <c r="AE32" s="51">
        <f>LARGE((Table62348[[#This Row],[K1]:[Z4]]),7)</f>
        <v>0</v>
      </c>
      <c r="AF32" s="51">
        <f>LARGE((Table62348[[#This Row],[K1]:[Z4]]),8)</f>
        <v>0</v>
      </c>
      <c r="AG32" s="51">
        <f>LARGE((Table62348[[#This Row],[K1]:[Z4]]),9)</f>
        <v>0</v>
      </c>
      <c r="AH32" s="38">
        <f>LARGE((Table62348[[#This Row],[K1]:[Z4]]),10)</f>
        <v>0</v>
      </c>
      <c r="AI32" s="45">
        <f t="shared" si="0"/>
        <v>0</v>
      </c>
      <c r="AJ32" s="37">
        <f t="shared" si="1"/>
        <v>0</v>
      </c>
      <c r="AK32" s="11"/>
    </row>
    <row r="33" spans="1:37" ht="14.4" hidden="1" x14ac:dyDescent="0.3">
      <c r="A33" s="59">
        <v>30</v>
      </c>
      <c r="B33" s="51"/>
      <c r="C33">
        <f>_xlfn.XLOOKUP(Table62348[[#This Row],[No.]],Sheet2!B:B,Sheet2!C:C)</f>
        <v>0</v>
      </c>
      <c r="D33" s="52">
        <f>_xlfn.XLOOKUP(Table62348[[#This Row],[No.]],Sheet2!B:B,Sheet2!G:G)</f>
        <v>0</v>
      </c>
      <c r="E33" s="51">
        <f>_xlfn.XLOOKUP(Table62348[[#This Row],[No.]],Sheet2!B:B,Sheet2!H:H)</f>
        <v>0</v>
      </c>
      <c r="F33" s="30">
        <f>_xlfn.XLOOKUP(Table62348[[#This Row],[No.]],Sheet2!B:B,Sheet2!D:D)</f>
        <v>0</v>
      </c>
      <c r="G33" s="37">
        <v>0</v>
      </c>
      <c r="H33" s="51">
        <v>0</v>
      </c>
      <c r="I33" s="51">
        <v>0</v>
      </c>
      <c r="J33" s="51">
        <v>0</v>
      </c>
      <c r="K33" s="49">
        <f>SUM(Table62348[[#This Row],[SARMC 1]:[SARMC 4]])</f>
        <v>0</v>
      </c>
      <c r="L33" s="37">
        <v>0</v>
      </c>
      <c r="M33" s="51">
        <v>0</v>
      </c>
      <c r="N33" s="38">
        <v>0</v>
      </c>
      <c r="O33" s="37">
        <v>0</v>
      </c>
      <c r="P33" s="51">
        <v>0</v>
      </c>
      <c r="Q33" s="38">
        <v>0</v>
      </c>
      <c r="R33" s="37">
        <v>0</v>
      </c>
      <c r="S33" s="51">
        <v>0</v>
      </c>
      <c r="T33" s="38">
        <v>0</v>
      </c>
      <c r="U33" s="37">
        <v>0</v>
      </c>
      <c r="V33" s="51">
        <v>0</v>
      </c>
      <c r="W33" s="51">
        <v>0</v>
      </c>
      <c r="X33" s="38">
        <v>0</v>
      </c>
      <c r="Y33" s="37">
        <f>LARGE((Table62348[[#This Row],[K1]:[Z4]]),1)</f>
        <v>0</v>
      </c>
      <c r="Z33" s="51">
        <f>LARGE((Table62348[[#This Row],[K1]:[Z4]]),2)</f>
        <v>0</v>
      </c>
      <c r="AA33" s="51">
        <f>LARGE((Table62348[[#This Row],[K1]:[Z4]]),3)</f>
        <v>0</v>
      </c>
      <c r="AB33" s="51">
        <f>LARGE((Table62348[[#This Row],[K1]:[Z4]]),4)</f>
        <v>0</v>
      </c>
      <c r="AC33" s="51">
        <f>LARGE((Table62348[[#This Row],[K1]:[Z4]]),5)</f>
        <v>0</v>
      </c>
      <c r="AD33" s="51">
        <f>LARGE((Table62348[[#This Row],[K1]:[Z4]]),6)</f>
        <v>0</v>
      </c>
      <c r="AE33" s="51">
        <f>LARGE((Table62348[[#This Row],[K1]:[Z4]]),7)</f>
        <v>0</v>
      </c>
      <c r="AF33" s="51">
        <f>LARGE((Table62348[[#This Row],[K1]:[Z4]]),8)</f>
        <v>0</v>
      </c>
      <c r="AG33" s="51">
        <f>LARGE((Table62348[[#This Row],[K1]:[Z4]]),9)</f>
        <v>0</v>
      </c>
      <c r="AH33" s="38">
        <f>LARGE((Table62348[[#This Row],[K1]:[Z4]]),10)</f>
        <v>0</v>
      </c>
      <c r="AI33" s="45">
        <f t="shared" si="0"/>
        <v>0</v>
      </c>
      <c r="AJ33" s="37">
        <f t="shared" si="1"/>
        <v>0</v>
      </c>
      <c r="AK33" s="11"/>
    </row>
    <row r="34" spans="1:37" ht="14.4" hidden="1" x14ac:dyDescent="0.3">
      <c r="A34" s="59">
        <v>31</v>
      </c>
      <c r="B34" s="51"/>
      <c r="C34">
        <f>_xlfn.XLOOKUP(Table62348[[#This Row],[No.]],Sheet2!B:B,Sheet2!C:C)</f>
        <v>0</v>
      </c>
      <c r="D34" s="52">
        <f>_xlfn.XLOOKUP(Table62348[[#This Row],[No.]],Sheet2!B:B,Sheet2!G:G)</f>
        <v>0</v>
      </c>
      <c r="E34" s="51">
        <f>_xlfn.XLOOKUP(Table62348[[#This Row],[No.]],Sheet2!B:B,Sheet2!H:H)</f>
        <v>0</v>
      </c>
      <c r="F34" s="30">
        <f>_xlfn.XLOOKUP(Table62348[[#This Row],[No.]],Sheet2!B:B,Sheet2!D:D)</f>
        <v>0</v>
      </c>
      <c r="G34" s="37">
        <v>0</v>
      </c>
      <c r="H34" s="51">
        <v>0</v>
      </c>
      <c r="I34" s="51">
        <v>0</v>
      </c>
      <c r="J34" s="51">
        <v>0</v>
      </c>
      <c r="K34" s="49">
        <f>SUM(Table62348[[#This Row],[SARMC 1]:[SARMC 4]])</f>
        <v>0</v>
      </c>
      <c r="L34" s="37">
        <v>0</v>
      </c>
      <c r="M34" s="51">
        <v>0</v>
      </c>
      <c r="N34" s="38">
        <v>0</v>
      </c>
      <c r="O34" s="37">
        <v>0</v>
      </c>
      <c r="P34" s="51">
        <v>0</v>
      </c>
      <c r="Q34" s="38">
        <v>0</v>
      </c>
      <c r="R34" s="37">
        <v>0</v>
      </c>
      <c r="S34" s="51">
        <v>0</v>
      </c>
      <c r="T34" s="38">
        <v>0</v>
      </c>
      <c r="U34" s="37">
        <v>0</v>
      </c>
      <c r="V34" s="51">
        <v>0</v>
      </c>
      <c r="W34" s="51">
        <v>0</v>
      </c>
      <c r="X34" s="38">
        <v>0</v>
      </c>
      <c r="Y34" s="37">
        <f>LARGE((Table62348[[#This Row],[K1]:[Z4]]),1)</f>
        <v>0</v>
      </c>
      <c r="Z34" s="51">
        <f>LARGE((Table62348[[#This Row],[K1]:[Z4]]),2)</f>
        <v>0</v>
      </c>
      <c r="AA34" s="51">
        <f>LARGE((Table62348[[#This Row],[K1]:[Z4]]),3)</f>
        <v>0</v>
      </c>
      <c r="AB34" s="51">
        <f>LARGE((Table62348[[#This Row],[K1]:[Z4]]),4)</f>
        <v>0</v>
      </c>
      <c r="AC34" s="51">
        <f>LARGE((Table62348[[#This Row],[K1]:[Z4]]),5)</f>
        <v>0</v>
      </c>
      <c r="AD34" s="51">
        <f>LARGE((Table62348[[#This Row],[K1]:[Z4]]),6)</f>
        <v>0</v>
      </c>
      <c r="AE34" s="51">
        <f>LARGE((Table62348[[#This Row],[K1]:[Z4]]),7)</f>
        <v>0</v>
      </c>
      <c r="AF34" s="51">
        <f>LARGE((Table62348[[#This Row],[K1]:[Z4]]),8)</f>
        <v>0</v>
      </c>
      <c r="AG34" s="51">
        <f>LARGE((Table62348[[#This Row],[K1]:[Z4]]),9)</f>
        <v>0</v>
      </c>
      <c r="AH34" s="38">
        <f>LARGE((Table62348[[#This Row],[K1]:[Z4]]),10)</f>
        <v>0</v>
      </c>
      <c r="AI34" s="45">
        <f t="shared" si="0"/>
        <v>0</v>
      </c>
      <c r="AJ34" s="37">
        <f t="shared" si="1"/>
        <v>0</v>
      </c>
      <c r="AK34" s="11"/>
    </row>
    <row r="35" spans="1:37" ht="14.4" hidden="1" x14ac:dyDescent="0.3">
      <c r="A35" s="59">
        <v>32</v>
      </c>
      <c r="B35" s="51"/>
      <c r="C35">
        <f>_xlfn.XLOOKUP(Table62348[[#This Row],[No.]],Sheet2!B:B,Sheet2!C:C)</f>
        <v>0</v>
      </c>
      <c r="D35" s="52">
        <f>_xlfn.XLOOKUP(Table62348[[#This Row],[No.]],Sheet2!B:B,Sheet2!G:G)</f>
        <v>0</v>
      </c>
      <c r="E35" s="51">
        <f>_xlfn.XLOOKUP(Table62348[[#This Row],[No.]],Sheet2!B:B,Sheet2!H:H)</f>
        <v>0</v>
      </c>
      <c r="F35" s="30">
        <f>_xlfn.XLOOKUP(Table62348[[#This Row],[No.]],Sheet2!B:B,Sheet2!D:D)</f>
        <v>0</v>
      </c>
      <c r="G35" s="37">
        <v>0</v>
      </c>
      <c r="H35" s="51">
        <v>0</v>
      </c>
      <c r="I35" s="51">
        <v>0</v>
      </c>
      <c r="J35" s="51">
        <v>0</v>
      </c>
      <c r="K35" s="49">
        <f>SUM(Table62348[[#This Row],[SARMC 1]:[SARMC 4]])</f>
        <v>0</v>
      </c>
      <c r="L35" s="37">
        <v>0</v>
      </c>
      <c r="M35" s="51">
        <v>0</v>
      </c>
      <c r="N35" s="38">
        <v>0</v>
      </c>
      <c r="O35" s="37">
        <v>0</v>
      </c>
      <c r="P35" s="51">
        <v>0</v>
      </c>
      <c r="Q35" s="38">
        <v>0</v>
      </c>
      <c r="R35" s="37">
        <v>0</v>
      </c>
      <c r="S35" s="51">
        <v>0</v>
      </c>
      <c r="T35" s="38">
        <v>0</v>
      </c>
      <c r="U35" s="37">
        <v>0</v>
      </c>
      <c r="V35" s="51">
        <v>0</v>
      </c>
      <c r="W35" s="51">
        <v>0</v>
      </c>
      <c r="X35" s="38">
        <v>0</v>
      </c>
      <c r="Y35" s="37">
        <f>LARGE((Table62348[[#This Row],[K1]:[Z4]]),1)</f>
        <v>0</v>
      </c>
      <c r="Z35" s="51">
        <f>LARGE((Table62348[[#This Row],[K1]:[Z4]]),2)</f>
        <v>0</v>
      </c>
      <c r="AA35" s="51">
        <f>LARGE((Table62348[[#This Row],[K1]:[Z4]]),3)</f>
        <v>0</v>
      </c>
      <c r="AB35" s="51">
        <f>LARGE((Table62348[[#This Row],[K1]:[Z4]]),4)</f>
        <v>0</v>
      </c>
      <c r="AC35" s="51">
        <f>LARGE((Table62348[[#This Row],[K1]:[Z4]]),5)</f>
        <v>0</v>
      </c>
      <c r="AD35" s="51">
        <f>LARGE((Table62348[[#This Row],[K1]:[Z4]]),6)</f>
        <v>0</v>
      </c>
      <c r="AE35" s="51">
        <f>LARGE((Table62348[[#This Row],[K1]:[Z4]]),7)</f>
        <v>0</v>
      </c>
      <c r="AF35" s="51">
        <f>LARGE((Table62348[[#This Row],[K1]:[Z4]]),8)</f>
        <v>0</v>
      </c>
      <c r="AG35" s="51">
        <f>LARGE((Table62348[[#This Row],[K1]:[Z4]]),9)</f>
        <v>0</v>
      </c>
      <c r="AH35" s="38">
        <f>LARGE((Table62348[[#This Row],[K1]:[Z4]]),10)</f>
        <v>0</v>
      </c>
      <c r="AI35" s="45">
        <f t="shared" si="0"/>
        <v>0</v>
      </c>
      <c r="AJ35" s="37">
        <f t="shared" si="1"/>
        <v>0</v>
      </c>
      <c r="AK35" s="11"/>
    </row>
    <row r="36" spans="1:37" ht="14.4" hidden="1" x14ac:dyDescent="0.3">
      <c r="A36" s="59">
        <v>33</v>
      </c>
      <c r="B36" s="51"/>
      <c r="C36">
        <f>_xlfn.XLOOKUP(Table62348[[#This Row],[No.]],Sheet2!B:B,Sheet2!C:C)</f>
        <v>0</v>
      </c>
      <c r="D36" s="52">
        <f>_xlfn.XLOOKUP(Table62348[[#This Row],[No.]],Sheet2!B:B,Sheet2!G:G)</f>
        <v>0</v>
      </c>
      <c r="E36" s="51">
        <f>_xlfn.XLOOKUP(Table62348[[#This Row],[No.]],Sheet2!B:B,Sheet2!H:H)</f>
        <v>0</v>
      </c>
      <c r="F36" s="30">
        <f>_xlfn.XLOOKUP(Table62348[[#This Row],[No.]],Sheet2!B:B,Sheet2!D:D)</f>
        <v>0</v>
      </c>
      <c r="G36" s="37">
        <v>0</v>
      </c>
      <c r="H36" s="51">
        <v>0</v>
      </c>
      <c r="I36" s="51">
        <v>0</v>
      </c>
      <c r="J36" s="51">
        <v>0</v>
      </c>
      <c r="K36" s="49">
        <f>SUM(Table62348[[#This Row],[SARMC 1]:[SARMC 4]])</f>
        <v>0</v>
      </c>
      <c r="L36" s="37">
        <v>0</v>
      </c>
      <c r="M36" s="51">
        <v>0</v>
      </c>
      <c r="N36" s="38">
        <v>0</v>
      </c>
      <c r="O36" s="37">
        <v>0</v>
      </c>
      <c r="P36" s="51">
        <v>0</v>
      </c>
      <c r="Q36" s="38">
        <v>0</v>
      </c>
      <c r="R36" s="37">
        <v>0</v>
      </c>
      <c r="S36" s="51">
        <v>0</v>
      </c>
      <c r="T36" s="38">
        <v>0</v>
      </c>
      <c r="U36" s="37">
        <v>0</v>
      </c>
      <c r="V36" s="51">
        <v>0</v>
      </c>
      <c r="W36" s="51">
        <v>0</v>
      </c>
      <c r="X36" s="38">
        <v>0</v>
      </c>
      <c r="Y36" s="37">
        <f>LARGE((Table62348[[#This Row],[K1]:[Z4]]),1)</f>
        <v>0</v>
      </c>
      <c r="Z36" s="51">
        <f>LARGE((Table62348[[#This Row],[K1]:[Z4]]),2)</f>
        <v>0</v>
      </c>
      <c r="AA36" s="51">
        <f>LARGE((Table62348[[#This Row],[K1]:[Z4]]),3)</f>
        <v>0</v>
      </c>
      <c r="AB36" s="51">
        <f>LARGE((Table62348[[#This Row],[K1]:[Z4]]),4)</f>
        <v>0</v>
      </c>
      <c r="AC36" s="51">
        <f>LARGE((Table62348[[#This Row],[K1]:[Z4]]),5)</f>
        <v>0</v>
      </c>
      <c r="AD36" s="51">
        <f>LARGE((Table62348[[#This Row],[K1]:[Z4]]),6)</f>
        <v>0</v>
      </c>
      <c r="AE36" s="51">
        <f>LARGE((Table62348[[#This Row],[K1]:[Z4]]),7)</f>
        <v>0</v>
      </c>
      <c r="AF36" s="51">
        <f>LARGE((Table62348[[#This Row],[K1]:[Z4]]),8)</f>
        <v>0</v>
      </c>
      <c r="AG36" s="51">
        <f>LARGE((Table62348[[#This Row],[K1]:[Z4]]),9)</f>
        <v>0</v>
      </c>
      <c r="AH36" s="38">
        <f>LARGE((Table62348[[#This Row],[K1]:[Z4]]),10)</f>
        <v>0</v>
      </c>
      <c r="AI36" s="45">
        <f t="shared" si="0"/>
        <v>0</v>
      </c>
      <c r="AJ36" s="37">
        <f t="shared" si="1"/>
        <v>0</v>
      </c>
      <c r="AK36" s="11"/>
    </row>
    <row r="37" spans="1:37" ht="14.4" hidden="1" x14ac:dyDescent="0.3">
      <c r="A37" s="59">
        <v>34</v>
      </c>
      <c r="B37" s="51"/>
      <c r="C37">
        <f>_xlfn.XLOOKUP(Table62348[[#This Row],[No.]],Sheet2!B:B,Sheet2!C:C)</f>
        <v>0</v>
      </c>
      <c r="D37" s="52">
        <f>_xlfn.XLOOKUP(Table62348[[#This Row],[No.]],Sheet2!B:B,Sheet2!G:G)</f>
        <v>0</v>
      </c>
      <c r="E37" s="51">
        <f>_xlfn.XLOOKUP(Table62348[[#This Row],[No.]],Sheet2!B:B,Sheet2!H:H)</f>
        <v>0</v>
      </c>
      <c r="F37" s="30">
        <f>_xlfn.XLOOKUP(Table62348[[#This Row],[No.]],Sheet2!B:B,Sheet2!D:D)</f>
        <v>0</v>
      </c>
      <c r="G37" s="37">
        <v>0</v>
      </c>
      <c r="H37" s="51">
        <v>0</v>
      </c>
      <c r="I37" s="51">
        <v>0</v>
      </c>
      <c r="J37" s="51">
        <v>0</v>
      </c>
      <c r="K37" s="49">
        <f>SUM(Table62348[[#This Row],[SARMC 1]:[SARMC 4]])</f>
        <v>0</v>
      </c>
      <c r="L37" s="37">
        <v>0</v>
      </c>
      <c r="M37" s="51">
        <v>0</v>
      </c>
      <c r="N37" s="38">
        <v>0</v>
      </c>
      <c r="O37" s="37">
        <v>0</v>
      </c>
      <c r="P37" s="51">
        <v>0</v>
      </c>
      <c r="Q37" s="38">
        <v>0</v>
      </c>
      <c r="R37" s="37">
        <v>0</v>
      </c>
      <c r="S37" s="51">
        <v>0</v>
      </c>
      <c r="T37" s="38">
        <v>0</v>
      </c>
      <c r="U37" s="37">
        <v>0</v>
      </c>
      <c r="V37" s="51">
        <v>0</v>
      </c>
      <c r="W37" s="51">
        <v>0</v>
      </c>
      <c r="X37" s="38">
        <v>0</v>
      </c>
      <c r="Y37" s="37">
        <f>LARGE((Table62348[[#This Row],[K1]:[Z4]]),1)</f>
        <v>0</v>
      </c>
      <c r="Z37" s="51">
        <f>LARGE((Table62348[[#This Row],[K1]:[Z4]]),2)</f>
        <v>0</v>
      </c>
      <c r="AA37" s="51">
        <f>LARGE((Table62348[[#This Row],[K1]:[Z4]]),3)</f>
        <v>0</v>
      </c>
      <c r="AB37" s="51">
        <f>LARGE((Table62348[[#This Row],[K1]:[Z4]]),4)</f>
        <v>0</v>
      </c>
      <c r="AC37" s="51">
        <f>LARGE((Table62348[[#This Row],[K1]:[Z4]]),5)</f>
        <v>0</v>
      </c>
      <c r="AD37" s="51">
        <f>LARGE((Table62348[[#This Row],[K1]:[Z4]]),6)</f>
        <v>0</v>
      </c>
      <c r="AE37" s="51">
        <f>LARGE((Table62348[[#This Row],[K1]:[Z4]]),7)</f>
        <v>0</v>
      </c>
      <c r="AF37" s="51">
        <f>LARGE((Table62348[[#This Row],[K1]:[Z4]]),8)</f>
        <v>0</v>
      </c>
      <c r="AG37" s="51">
        <f>LARGE((Table62348[[#This Row],[K1]:[Z4]]),9)</f>
        <v>0</v>
      </c>
      <c r="AH37" s="38">
        <f>LARGE((Table62348[[#This Row],[K1]:[Z4]]),10)</f>
        <v>0</v>
      </c>
      <c r="AI37" s="45">
        <f t="shared" si="0"/>
        <v>0</v>
      </c>
      <c r="AJ37" s="37">
        <f t="shared" si="1"/>
        <v>0</v>
      </c>
      <c r="AK37" s="11"/>
    </row>
    <row r="38" spans="1:37" ht="14.4" hidden="1" x14ac:dyDescent="0.3">
      <c r="A38" s="59">
        <v>35</v>
      </c>
      <c r="B38" s="51"/>
      <c r="C38">
        <f>_xlfn.XLOOKUP(Table62348[[#This Row],[No.]],Sheet2!B:B,Sheet2!C:C)</f>
        <v>0</v>
      </c>
      <c r="D38" s="52">
        <f>_xlfn.XLOOKUP(Table62348[[#This Row],[No.]],Sheet2!B:B,Sheet2!G:G)</f>
        <v>0</v>
      </c>
      <c r="E38" s="51">
        <f>_xlfn.XLOOKUP(Table62348[[#This Row],[No.]],Sheet2!B:B,Sheet2!H:H)</f>
        <v>0</v>
      </c>
      <c r="F38" s="30">
        <f>_xlfn.XLOOKUP(Table62348[[#This Row],[No.]],Sheet2!B:B,Sheet2!D:D)</f>
        <v>0</v>
      </c>
      <c r="G38" s="37">
        <v>0</v>
      </c>
      <c r="H38" s="51">
        <v>0</v>
      </c>
      <c r="I38" s="51">
        <v>0</v>
      </c>
      <c r="J38" s="51">
        <v>0</v>
      </c>
      <c r="K38" s="60">
        <f>SUM(Table62348[[#This Row],[SARMC 1]:[SARMC 4]])</f>
        <v>0</v>
      </c>
      <c r="L38" s="61">
        <v>0</v>
      </c>
      <c r="M38" s="62">
        <v>0</v>
      </c>
      <c r="N38" s="63">
        <v>0</v>
      </c>
      <c r="O38" s="61">
        <v>0</v>
      </c>
      <c r="P38" s="62">
        <v>0</v>
      </c>
      <c r="Q38" s="63">
        <v>0</v>
      </c>
      <c r="R38" s="61">
        <v>0</v>
      </c>
      <c r="S38" s="62">
        <v>0</v>
      </c>
      <c r="T38" s="63">
        <v>0</v>
      </c>
      <c r="U38" s="61">
        <v>0</v>
      </c>
      <c r="V38" s="62">
        <v>0</v>
      </c>
      <c r="W38" s="62">
        <v>0</v>
      </c>
      <c r="X38" s="63">
        <v>0</v>
      </c>
      <c r="Y38" s="37">
        <f>LARGE((Table62348[[#This Row],[K1]:[Z4]]),1)</f>
        <v>0</v>
      </c>
      <c r="Z38" s="51">
        <f>LARGE((Table62348[[#This Row],[K1]:[Z4]]),2)</f>
        <v>0</v>
      </c>
      <c r="AA38" s="51">
        <f>LARGE((Table62348[[#This Row],[K1]:[Z4]]),3)</f>
        <v>0</v>
      </c>
      <c r="AB38" s="51">
        <f>LARGE((Table62348[[#This Row],[K1]:[Z4]]),4)</f>
        <v>0</v>
      </c>
      <c r="AC38" s="51">
        <f>LARGE((Table62348[[#This Row],[K1]:[Z4]]),5)</f>
        <v>0</v>
      </c>
      <c r="AD38" s="51">
        <f>LARGE((Table62348[[#This Row],[K1]:[Z4]]),6)</f>
        <v>0</v>
      </c>
      <c r="AE38" s="51">
        <f>LARGE((Table62348[[#This Row],[K1]:[Z4]]),7)</f>
        <v>0</v>
      </c>
      <c r="AF38" s="51">
        <f>LARGE((Table62348[[#This Row],[K1]:[Z4]]),8)</f>
        <v>0</v>
      </c>
      <c r="AG38" s="51">
        <f>LARGE((Table62348[[#This Row],[K1]:[Z4]]),9)</f>
        <v>0</v>
      </c>
      <c r="AH38" s="38">
        <f>LARGE((Table62348[[#This Row],[K1]:[Z4]]),10)</f>
        <v>0</v>
      </c>
      <c r="AI38" s="45">
        <f t="shared" si="0"/>
        <v>0</v>
      </c>
      <c r="AJ38" s="37">
        <f t="shared" si="1"/>
        <v>0</v>
      </c>
      <c r="AK38" s="11"/>
    </row>
    <row r="39" spans="1:37" x14ac:dyDescent="0.25">
      <c r="A39" s="22"/>
      <c r="B39" s="23"/>
      <c r="C39" s="24" t="s">
        <v>45</v>
      </c>
      <c r="D39" s="31"/>
      <c r="E39" s="25"/>
      <c r="F39" s="32"/>
      <c r="G39" s="23"/>
      <c r="H39" s="23"/>
      <c r="I39" s="23"/>
      <c r="J39" s="23"/>
      <c r="K39" s="27"/>
      <c r="L39" s="22"/>
      <c r="M39" s="22">
        <f>(COUNTIF(M4:M38,"&gt;0"))</f>
        <v>5</v>
      </c>
      <c r="N39" s="22"/>
      <c r="O39" s="22"/>
      <c r="P39" s="22">
        <f>(COUNTIF(O4:O38,"&gt;0"))</f>
        <v>6</v>
      </c>
      <c r="Q39" s="22"/>
      <c r="R39" s="22"/>
      <c r="S39" s="22">
        <f>(COUNTIF(R4:R38,"&gt;0"))</f>
        <v>6</v>
      </c>
      <c r="T39" s="22"/>
      <c r="U39" s="23"/>
      <c r="V39" s="22">
        <f>(COUNTIF(U4:U38,"&gt;0"))</f>
        <v>2</v>
      </c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6"/>
      <c r="AJ39" s="27"/>
    </row>
    <row r="40" spans="1:37" x14ac:dyDescent="0.25">
      <c r="D40" s="33"/>
    </row>
  </sheetData>
  <sortState xmlns:xlrd2="http://schemas.microsoft.com/office/spreadsheetml/2017/richdata2" ref="B4:AD15">
    <sortCondition descending="1" ref="AD4:AD15"/>
    <sortCondition ref="F4:F15"/>
    <sortCondition ref="B4:B15"/>
  </sortState>
  <mergeCells count="8">
    <mergeCell ref="A2:F2"/>
    <mergeCell ref="A1:AJ1"/>
    <mergeCell ref="G2:K2"/>
    <mergeCell ref="L2:N2"/>
    <mergeCell ref="O2:Q2"/>
    <mergeCell ref="R2:T2"/>
    <mergeCell ref="U2:X2"/>
    <mergeCell ref="Y2:AH2"/>
  </mergeCells>
  <conditionalFormatting sqref="B1">
    <cfRule type="duplicateValues" dxfId="32" priority="1"/>
    <cfRule type="duplicateValues" dxfId="31" priority="2"/>
    <cfRule type="duplicateValues" dxfId="30" priority="3"/>
  </conditionalFormatting>
  <pageMargins left="0.23622047244094491" right="0.23622047244094491" top="0.31496062992125984" bottom="0.31496062992125984" header="0.31496062992125984" footer="0.31496062992125984"/>
  <pageSetup paperSize="9" scale="81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40"/>
  <sheetViews>
    <sheetView topLeftCell="A6" workbookViewId="0">
      <selection activeCell="C11" sqref="C11"/>
    </sheetView>
  </sheetViews>
  <sheetFormatPr defaultColWidth="8.88671875" defaultRowHeight="13.8" x14ac:dyDescent="0.3"/>
  <cols>
    <col min="1" max="1" width="11.109375" style="7" customWidth="1"/>
    <col min="2" max="2" width="37.88671875" style="4" bestFit="1" customWidth="1"/>
    <col min="3" max="3" width="97" style="4" bestFit="1" customWidth="1"/>
    <col min="4" max="16384" width="8.88671875" style="4"/>
  </cols>
  <sheetData>
    <row r="1" spans="1:3" x14ac:dyDescent="0.3">
      <c r="A1" s="1" t="s">
        <v>417</v>
      </c>
    </row>
    <row r="2" spans="1:3" ht="14.4" x14ac:dyDescent="0.3">
      <c r="A2" s="2" t="s">
        <v>422</v>
      </c>
      <c r="B2" s="3" t="s">
        <v>57</v>
      </c>
      <c r="C2" s="15" t="s">
        <v>452</v>
      </c>
    </row>
    <row r="3" spans="1:3" ht="14.4" x14ac:dyDescent="0.3">
      <c r="A3" s="2" t="s">
        <v>423</v>
      </c>
      <c r="B3" s="3" t="s">
        <v>61</v>
      </c>
      <c r="C3" s="15" t="s">
        <v>451</v>
      </c>
    </row>
    <row r="4" spans="1:3" x14ac:dyDescent="0.3">
      <c r="A4" s="2" t="s">
        <v>427</v>
      </c>
      <c r="B4" s="3" t="s">
        <v>483</v>
      </c>
      <c r="C4" s="5" t="s">
        <v>484</v>
      </c>
    </row>
    <row r="5" spans="1:3" x14ac:dyDescent="0.3">
      <c r="A5" s="2" t="s">
        <v>424</v>
      </c>
      <c r="B5" s="3" t="s">
        <v>60</v>
      </c>
      <c r="C5" s="66"/>
    </row>
    <row r="6" spans="1:3" x14ac:dyDescent="0.3">
      <c r="A6" s="2"/>
    </row>
    <row r="7" spans="1:3" x14ac:dyDescent="0.3">
      <c r="A7" s="1" t="s">
        <v>418</v>
      </c>
    </row>
    <row r="8" spans="1:3" x14ac:dyDescent="0.3">
      <c r="A8" s="2" t="s">
        <v>425</v>
      </c>
      <c r="B8" s="3" t="s">
        <v>60</v>
      </c>
      <c r="C8" s="6" t="s">
        <v>453</v>
      </c>
    </row>
    <row r="9" spans="1:3" x14ac:dyDescent="0.3">
      <c r="A9" s="2" t="s">
        <v>426</v>
      </c>
      <c r="B9" s="3" t="s">
        <v>61</v>
      </c>
      <c r="C9" s="5" t="s">
        <v>454</v>
      </c>
    </row>
    <row r="10" spans="1:3" x14ac:dyDescent="0.3">
      <c r="A10" s="2" t="s">
        <v>427</v>
      </c>
      <c r="B10" s="3" t="s">
        <v>60</v>
      </c>
      <c r="C10" s="5" t="s">
        <v>484</v>
      </c>
    </row>
    <row r="11" spans="1:3" ht="14.4" x14ac:dyDescent="0.3">
      <c r="A11" s="2" t="s">
        <v>428</v>
      </c>
      <c r="B11" s="3" t="s">
        <v>58</v>
      </c>
      <c r="C11" s="15" t="s">
        <v>485</v>
      </c>
    </row>
    <row r="12" spans="1:3" x14ac:dyDescent="0.3">
      <c r="A12" s="1"/>
    </row>
    <row r="13" spans="1:3" x14ac:dyDescent="0.3">
      <c r="A13" s="1" t="s">
        <v>419</v>
      </c>
    </row>
    <row r="14" spans="1:3" x14ac:dyDescent="0.3">
      <c r="A14" s="2" t="s">
        <v>429</v>
      </c>
      <c r="B14" s="3" t="s">
        <v>57</v>
      </c>
      <c r="C14" s="6" t="s">
        <v>457</v>
      </c>
    </row>
    <row r="15" spans="1:3" x14ac:dyDescent="0.3">
      <c r="A15" s="2" t="s">
        <v>426</v>
      </c>
      <c r="B15" s="3" t="s">
        <v>57</v>
      </c>
      <c r="C15" s="6" t="s">
        <v>458</v>
      </c>
    </row>
    <row r="16" spans="1:3" x14ac:dyDescent="0.3">
      <c r="A16" s="2" t="s">
        <v>430</v>
      </c>
      <c r="B16" s="3" t="s">
        <v>57</v>
      </c>
      <c r="C16" s="6" t="s">
        <v>486</v>
      </c>
    </row>
    <row r="17" spans="1:3" x14ac:dyDescent="0.3">
      <c r="A17" s="2" t="s">
        <v>431</v>
      </c>
      <c r="B17" s="3" t="s">
        <v>57</v>
      </c>
      <c r="C17" s="6" t="s">
        <v>487</v>
      </c>
    </row>
    <row r="18" spans="1:3" x14ac:dyDescent="0.3">
      <c r="A18" s="2"/>
    </row>
    <row r="19" spans="1:3" x14ac:dyDescent="0.3">
      <c r="A19" s="1" t="s">
        <v>420</v>
      </c>
    </row>
    <row r="20" spans="1:3" x14ac:dyDescent="0.3">
      <c r="A20" s="2" t="s">
        <v>432</v>
      </c>
      <c r="B20" s="3" t="s">
        <v>59</v>
      </c>
      <c r="C20" s="6" t="s">
        <v>455</v>
      </c>
    </row>
    <row r="21" spans="1:3" x14ac:dyDescent="0.3">
      <c r="A21" s="2" t="s">
        <v>433</v>
      </c>
      <c r="B21" s="3" t="s">
        <v>59</v>
      </c>
      <c r="C21" s="8" t="s">
        <v>456</v>
      </c>
    </row>
    <row r="22" spans="1:3" x14ac:dyDescent="0.3">
      <c r="A22" s="2" t="s">
        <v>490</v>
      </c>
      <c r="B22" s="3" t="s">
        <v>59</v>
      </c>
      <c r="C22" s="8" t="s">
        <v>491</v>
      </c>
    </row>
    <row r="23" spans="1:3" x14ac:dyDescent="0.3">
      <c r="A23" s="2" t="s">
        <v>434</v>
      </c>
      <c r="B23" s="3" t="s">
        <v>59</v>
      </c>
      <c r="C23" s="8" t="s">
        <v>488</v>
      </c>
    </row>
    <row r="24" spans="1:3" x14ac:dyDescent="0.3">
      <c r="A24" s="2"/>
      <c r="B24" s="3"/>
      <c r="C24" s="6"/>
    </row>
    <row r="25" spans="1:3" x14ac:dyDescent="0.3">
      <c r="A25" s="1" t="s">
        <v>421</v>
      </c>
    </row>
    <row r="26" spans="1:3" x14ac:dyDescent="0.3">
      <c r="A26" s="2" t="s">
        <v>429</v>
      </c>
      <c r="B26" s="3" t="s">
        <v>64</v>
      </c>
      <c r="C26" s="6"/>
    </row>
    <row r="27" spans="1:3" x14ac:dyDescent="0.3">
      <c r="A27" s="2" t="s">
        <v>435</v>
      </c>
      <c r="B27" s="3" t="s">
        <v>64</v>
      </c>
      <c r="C27" s="5"/>
    </row>
    <row r="28" spans="1:3" x14ac:dyDescent="0.3">
      <c r="A28" s="2" t="s">
        <v>436</v>
      </c>
      <c r="B28" s="3" t="s">
        <v>64</v>
      </c>
      <c r="C28" s="5"/>
    </row>
    <row r="29" spans="1:3" x14ac:dyDescent="0.3">
      <c r="A29" s="2" t="s">
        <v>434</v>
      </c>
      <c r="B29" s="3" t="s">
        <v>64</v>
      </c>
      <c r="C29" s="5"/>
    </row>
    <row r="31" spans="1:3" x14ac:dyDescent="0.3">
      <c r="A31" s="1" t="s">
        <v>65</v>
      </c>
    </row>
    <row r="32" spans="1:3" x14ac:dyDescent="0.3">
      <c r="A32" s="2" t="s">
        <v>63</v>
      </c>
      <c r="B32" s="3" t="s">
        <v>66</v>
      </c>
      <c r="C32" s="5"/>
    </row>
    <row r="33" spans="1:3" x14ac:dyDescent="0.3">
      <c r="A33" s="2" t="s">
        <v>67</v>
      </c>
      <c r="B33" s="4" t="s">
        <v>68</v>
      </c>
    </row>
    <row r="34" spans="1:3" x14ac:dyDescent="0.3">
      <c r="A34" s="7" t="s">
        <v>69</v>
      </c>
      <c r="B34" s="4" t="s">
        <v>66</v>
      </c>
    </row>
    <row r="35" spans="1:3" x14ac:dyDescent="0.3">
      <c r="A35" s="7" t="s">
        <v>62</v>
      </c>
      <c r="B35" s="4" t="s">
        <v>70</v>
      </c>
    </row>
    <row r="37" spans="1:3" x14ac:dyDescent="0.3">
      <c r="A37" s="53" t="s">
        <v>71</v>
      </c>
    </row>
    <row r="38" spans="1:3" x14ac:dyDescent="0.3">
      <c r="A38" s="7" t="s">
        <v>72</v>
      </c>
      <c r="B38" s="4" t="s">
        <v>73</v>
      </c>
      <c r="C38" s="5"/>
    </row>
    <row r="39" spans="1:3" x14ac:dyDescent="0.3">
      <c r="A39" s="7" t="s">
        <v>74</v>
      </c>
      <c r="B39" s="4" t="s">
        <v>73</v>
      </c>
    </row>
    <row r="40" spans="1:3" x14ac:dyDescent="0.3">
      <c r="A40" s="7" t="s">
        <v>75</v>
      </c>
      <c r="B40" s="4" t="s">
        <v>73</v>
      </c>
    </row>
  </sheetData>
  <phoneticPr fontId="24" type="noConversion"/>
  <hyperlinks>
    <hyperlink ref="C2" r:id="rId1" xr:uid="{C73794FA-2F4F-45C9-88F7-A563736BFF60}"/>
  </hyperlinks>
  <pageMargins left="0.70866141732283472" right="0.70866141732283472" top="0.74803149606299213" bottom="0.74803149606299213" header="0.31496062992125984" footer="0.31496062992125984"/>
  <pageSetup paperSize="9" scale="87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C1A2F-FFB9-4BED-A059-32AB7ABBEAFD}">
  <dimension ref="A1:H298"/>
  <sheetViews>
    <sheetView topLeftCell="A52" workbookViewId="0">
      <selection activeCell="C65" sqref="C65"/>
    </sheetView>
  </sheetViews>
  <sheetFormatPr defaultRowHeight="14.4" x14ac:dyDescent="0.3"/>
  <cols>
    <col min="1" max="1" width="8.5546875" bestFit="1" customWidth="1"/>
    <col min="2" max="2" width="5.88671875" bestFit="1" customWidth="1"/>
    <col min="3" max="3" width="23.109375" bestFit="1" customWidth="1"/>
    <col min="4" max="4" width="13.88671875" bestFit="1" customWidth="1"/>
    <col min="5" max="5" width="10" bestFit="1" customWidth="1"/>
    <col min="6" max="6" width="8.44140625" bestFit="1" customWidth="1"/>
    <col min="7" max="7" width="13.5546875" bestFit="1" customWidth="1"/>
  </cols>
  <sheetData>
    <row r="1" spans="1:8" x14ac:dyDescent="0.3">
      <c r="A1" t="s">
        <v>76</v>
      </c>
      <c r="B1" t="s">
        <v>36</v>
      </c>
      <c r="C1" t="s">
        <v>9</v>
      </c>
      <c r="D1" t="s">
        <v>77</v>
      </c>
      <c r="E1" t="s">
        <v>78</v>
      </c>
      <c r="F1" t="s">
        <v>79</v>
      </c>
      <c r="G1" t="s">
        <v>80</v>
      </c>
      <c r="H1" t="s">
        <v>81</v>
      </c>
    </row>
    <row r="2" spans="1:8" x14ac:dyDescent="0.3">
      <c r="A2" t="s">
        <v>82</v>
      </c>
      <c r="B2">
        <v>11</v>
      </c>
      <c r="C2" t="s">
        <v>38</v>
      </c>
      <c r="D2" t="s">
        <v>317</v>
      </c>
      <c r="E2" t="s">
        <v>83</v>
      </c>
      <c r="F2" t="s">
        <v>84</v>
      </c>
      <c r="G2">
        <v>45703</v>
      </c>
      <c r="H2" t="s">
        <v>36</v>
      </c>
    </row>
    <row r="3" spans="1:8" x14ac:dyDescent="0.3">
      <c r="A3" t="s">
        <v>82</v>
      </c>
      <c r="B3">
        <v>14</v>
      </c>
      <c r="C3" t="s">
        <v>86</v>
      </c>
      <c r="D3" t="s">
        <v>317</v>
      </c>
      <c r="E3" t="s">
        <v>83</v>
      </c>
      <c r="F3" t="s">
        <v>84</v>
      </c>
      <c r="G3">
        <v>43198</v>
      </c>
      <c r="H3" t="s">
        <v>36</v>
      </c>
    </row>
    <row r="4" spans="1:8" x14ac:dyDescent="0.3">
      <c r="A4" t="s">
        <v>82</v>
      </c>
      <c r="B4">
        <v>18</v>
      </c>
      <c r="C4" t="s">
        <v>89</v>
      </c>
      <c r="D4" t="s">
        <v>317</v>
      </c>
      <c r="E4" t="s">
        <v>83</v>
      </c>
      <c r="F4" t="s">
        <v>84</v>
      </c>
      <c r="G4">
        <v>43093</v>
      </c>
      <c r="H4" t="s">
        <v>36</v>
      </c>
    </row>
    <row r="5" spans="1:8" x14ac:dyDescent="0.3">
      <c r="A5" t="s">
        <v>82</v>
      </c>
      <c r="B5">
        <v>22</v>
      </c>
      <c r="C5" t="s">
        <v>92</v>
      </c>
      <c r="D5" t="s">
        <v>317</v>
      </c>
      <c r="E5" t="s">
        <v>83</v>
      </c>
      <c r="F5" t="s">
        <v>84</v>
      </c>
      <c r="G5">
        <v>44534</v>
      </c>
      <c r="H5" t="s">
        <v>36</v>
      </c>
    </row>
    <row r="6" spans="1:8" x14ac:dyDescent="0.3">
      <c r="A6" t="s">
        <v>82</v>
      </c>
      <c r="B6">
        <v>24</v>
      </c>
      <c r="C6" t="s">
        <v>94</v>
      </c>
      <c r="D6" t="s">
        <v>317</v>
      </c>
      <c r="E6" t="s">
        <v>83</v>
      </c>
      <c r="F6" t="s">
        <v>84</v>
      </c>
      <c r="G6">
        <v>45092</v>
      </c>
      <c r="H6" t="s">
        <v>36</v>
      </c>
    </row>
    <row r="7" spans="1:8" x14ac:dyDescent="0.3">
      <c r="A7" t="s">
        <v>82</v>
      </c>
      <c r="B7">
        <v>25</v>
      </c>
      <c r="C7" t="s">
        <v>43</v>
      </c>
      <c r="D7" t="s">
        <v>317</v>
      </c>
      <c r="E7" t="s">
        <v>83</v>
      </c>
      <c r="F7" t="s">
        <v>84</v>
      </c>
      <c r="G7">
        <v>45552</v>
      </c>
      <c r="H7" t="s">
        <v>44</v>
      </c>
    </row>
    <row r="8" spans="1:8" x14ac:dyDescent="0.3">
      <c r="A8" t="s">
        <v>82</v>
      </c>
      <c r="B8">
        <v>27</v>
      </c>
      <c r="C8" t="s">
        <v>327</v>
      </c>
      <c r="D8" t="s">
        <v>317</v>
      </c>
      <c r="E8" t="s">
        <v>83</v>
      </c>
      <c r="F8" t="s">
        <v>84</v>
      </c>
      <c r="G8">
        <v>46875</v>
      </c>
      <c r="H8" t="s">
        <v>47</v>
      </c>
    </row>
    <row r="9" spans="1:8" x14ac:dyDescent="0.3">
      <c r="A9" t="s">
        <v>82</v>
      </c>
      <c r="B9">
        <v>28</v>
      </c>
      <c r="C9" t="s">
        <v>318</v>
      </c>
      <c r="D9" t="s">
        <v>317</v>
      </c>
      <c r="E9" t="s">
        <v>83</v>
      </c>
      <c r="F9" t="s">
        <v>84</v>
      </c>
      <c r="G9">
        <v>123</v>
      </c>
      <c r="H9" t="s">
        <v>36</v>
      </c>
    </row>
    <row r="10" spans="1:8" x14ac:dyDescent="0.3">
      <c r="A10" t="s">
        <v>82</v>
      </c>
      <c r="B10">
        <v>29</v>
      </c>
      <c r="C10" t="s">
        <v>96</v>
      </c>
      <c r="D10" t="s">
        <v>317</v>
      </c>
      <c r="E10" t="s">
        <v>83</v>
      </c>
      <c r="F10" t="s">
        <v>84</v>
      </c>
      <c r="G10">
        <v>44105</v>
      </c>
      <c r="H10" t="s">
        <v>36</v>
      </c>
    </row>
    <row r="11" spans="1:8" x14ac:dyDescent="0.3">
      <c r="A11" t="s">
        <v>82</v>
      </c>
      <c r="B11">
        <v>33</v>
      </c>
      <c r="C11" t="s">
        <v>41</v>
      </c>
      <c r="D11" t="s">
        <v>317</v>
      </c>
      <c r="E11" t="s">
        <v>83</v>
      </c>
      <c r="F11" t="s">
        <v>84</v>
      </c>
      <c r="G11">
        <v>45545</v>
      </c>
      <c r="H11" t="s">
        <v>36</v>
      </c>
    </row>
    <row r="12" spans="1:8" x14ac:dyDescent="0.3">
      <c r="A12" t="s">
        <v>82</v>
      </c>
      <c r="B12">
        <v>37</v>
      </c>
      <c r="C12" t="s">
        <v>329</v>
      </c>
      <c r="D12" t="s">
        <v>317</v>
      </c>
      <c r="E12" t="s">
        <v>83</v>
      </c>
      <c r="F12" t="s">
        <v>84</v>
      </c>
      <c r="G12">
        <v>46877</v>
      </c>
      <c r="H12" t="s">
        <v>36</v>
      </c>
    </row>
    <row r="13" spans="1:8" x14ac:dyDescent="0.3">
      <c r="A13" t="s">
        <v>82</v>
      </c>
      <c r="B13">
        <v>44</v>
      </c>
      <c r="C13" t="s">
        <v>319</v>
      </c>
      <c r="D13" t="s">
        <v>317</v>
      </c>
      <c r="E13" t="s">
        <v>83</v>
      </c>
      <c r="F13" t="s">
        <v>84</v>
      </c>
      <c r="G13">
        <v>46203</v>
      </c>
      <c r="H13" t="s">
        <v>47</v>
      </c>
    </row>
    <row r="14" spans="1:8" x14ac:dyDescent="0.3">
      <c r="A14" t="s">
        <v>82</v>
      </c>
      <c r="B14">
        <v>52</v>
      </c>
      <c r="C14" t="s">
        <v>321</v>
      </c>
      <c r="D14" t="s">
        <v>317</v>
      </c>
      <c r="E14" t="s">
        <v>83</v>
      </c>
      <c r="F14" t="s">
        <v>84</v>
      </c>
      <c r="H14" t="s">
        <v>36</v>
      </c>
    </row>
    <row r="15" spans="1:8" x14ac:dyDescent="0.3">
      <c r="A15" t="s">
        <v>82</v>
      </c>
      <c r="B15">
        <v>55</v>
      </c>
      <c r="C15" t="s">
        <v>328</v>
      </c>
      <c r="D15" t="s">
        <v>317</v>
      </c>
      <c r="E15" t="s">
        <v>83</v>
      </c>
      <c r="F15" t="s">
        <v>84</v>
      </c>
      <c r="G15">
        <v>44293</v>
      </c>
      <c r="H15" t="s">
        <v>47</v>
      </c>
    </row>
    <row r="16" spans="1:8" x14ac:dyDescent="0.3">
      <c r="A16" t="s">
        <v>82</v>
      </c>
      <c r="B16">
        <v>57</v>
      </c>
      <c r="C16" t="s">
        <v>320</v>
      </c>
      <c r="D16" t="s">
        <v>317</v>
      </c>
      <c r="E16" t="s">
        <v>83</v>
      </c>
      <c r="F16" t="s">
        <v>84</v>
      </c>
      <c r="G16">
        <v>6237</v>
      </c>
      <c r="H16" t="s">
        <v>36</v>
      </c>
    </row>
    <row r="17" spans="1:8" x14ac:dyDescent="0.3">
      <c r="A17" t="s">
        <v>82</v>
      </c>
      <c r="B17">
        <v>61</v>
      </c>
      <c r="C17" t="s">
        <v>324</v>
      </c>
      <c r="D17" t="s">
        <v>317</v>
      </c>
      <c r="E17" t="s">
        <v>83</v>
      </c>
      <c r="F17" t="s">
        <v>84</v>
      </c>
      <c r="G17">
        <v>46404</v>
      </c>
      <c r="H17" t="s">
        <v>36</v>
      </c>
    </row>
    <row r="18" spans="1:8" x14ac:dyDescent="0.3">
      <c r="A18" t="s">
        <v>82</v>
      </c>
      <c r="B18">
        <v>67</v>
      </c>
      <c r="C18" t="s">
        <v>322</v>
      </c>
      <c r="D18" t="s">
        <v>317</v>
      </c>
      <c r="E18" t="s">
        <v>83</v>
      </c>
      <c r="F18" t="s">
        <v>84</v>
      </c>
      <c r="G18" t="s">
        <v>129</v>
      </c>
      <c r="H18" t="s">
        <v>44</v>
      </c>
    </row>
    <row r="19" spans="1:8" x14ac:dyDescent="0.3">
      <c r="A19" t="s">
        <v>82</v>
      </c>
      <c r="B19">
        <v>72</v>
      </c>
      <c r="C19" t="s">
        <v>102</v>
      </c>
      <c r="D19" t="s">
        <v>317</v>
      </c>
      <c r="E19" t="s">
        <v>83</v>
      </c>
      <c r="F19" t="s">
        <v>84</v>
      </c>
      <c r="G19">
        <v>44523</v>
      </c>
      <c r="H19" t="s">
        <v>36</v>
      </c>
    </row>
    <row r="20" spans="1:8" x14ac:dyDescent="0.3">
      <c r="A20" t="s">
        <v>82</v>
      </c>
      <c r="B20">
        <v>78</v>
      </c>
      <c r="C20" t="s">
        <v>323</v>
      </c>
      <c r="D20" t="s">
        <v>317</v>
      </c>
      <c r="E20" t="s">
        <v>83</v>
      </c>
      <c r="F20" t="s">
        <v>84</v>
      </c>
      <c r="G20">
        <v>46146</v>
      </c>
      <c r="H20" t="s">
        <v>36</v>
      </c>
    </row>
    <row r="21" spans="1:8" x14ac:dyDescent="0.3">
      <c r="A21" t="s">
        <v>82</v>
      </c>
      <c r="B21">
        <v>82</v>
      </c>
      <c r="C21" t="s">
        <v>40</v>
      </c>
      <c r="D21" t="s">
        <v>317</v>
      </c>
      <c r="E21" t="s">
        <v>83</v>
      </c>
      <c r="F21" t="s">
        <v>84</v>
      </c>
      <c r="G21" t="s">
        <v>106</v>
      </c>
      <c r="H21" t="s">
        <v>39</v>
      </c>
    </row>
    <row r="22" spans="1:8" x14ac:dyDescent="0.3">
      <c r="A22" t="s">
        <v>82</v>
      </c>
      <c r="B22">
        <v>83</v>
      </c>
      <c r="C22" t="s">
        <v>107</v>
      </c>
      <c r="D22" t="s">
        <v>317</v>
      </c>
      <c r="E22" t="s">
        <v>83</v>
      </c>
      <c r="F22" t="s">
        <v>84</v>
      </c>
      <c r="G22">
        <v>44449</v>
      </c>
      <c r="H22" t="s">
        <v>36</v>
      </c>
    </row>
    <row r="23" spans="1:8" x14ac:dyDescent="0.3">
      <c r="A23" t="s">
        <v>82</v>
      </c>
      <c r="B23">
        <v>93</v>
      </c>
      <c r="C23" t="s">
        <v>326</v>
      </c>
      <c r="D23" t="s">
        <v>317</v>
      </c>
      <c r="E23" t="s">
        <v>83</v>
      </c>
      <c r="F23" t="s">
        <v>84</v>
      </c>
      <c r="G23">
        <v>46383</v>
      </c>
      <c r="H23" t="s">
        <v>44</v>
      </c>
    </row>
    <row r="24" spans="1:8" x14ac:dyDescent="0.3">
      <c r="A24" t="s">
        <v>82</v>
      </c>
      <c r="B24">
        <v>98</v>
      </c>
      <c r="C24" t="s">
        <v>325</v>
      </c>
      <c r="D24" t="s">
        <v>317</v>
      </c>
      <c r="E24" t="s">
        <v>83</v>
      </c>
      <c r="F24" t="s">
        <v>84</v>
      </c>
      <c r="G24">
        <v>46383</v>
      </c>
      <c r="H24" t="s">
        <v>47</v>
      </c>
    </row>
    <row r="25" spans="1:8" x14ac:dyDescent="0.3">
      <c r="A25" t="s">
        <v>82</v>
      </c>
      <c r="B25">
        <v>99</v>
      </c>
      <c r="C25" t="s">
        <v>109</v>
      </c>
      <c r="D25" t="s">
        <v>317</v>
      </c>
      <c r="E25" t="s">
        <v>83</v>
      </c>
      <c r="F25" t="s">
        <v>84</v>
      </c>
      <c r="G25">
        <v>1225</v>
      </c>
      <c r="H25" t="s">
        <v>36</v>
      </c>
    </row>
    <row r="26" spans="1:8" x14ac:dyDescent="0.3">
      <c r="A26" t="s">
        <v>110</v>
      </c>
      <c r="B26">
        <v>11</v>
      </c>
      <c r="C26" t="s">
        <v>111</v>
      </c>
      <c r="D26" t="s">
        <v>332</v>
      </c>
      <c r="E26" t="s">
        <v>114</v>
      </c>
      <c r="F26" t="s">
        <v>84</v>
      </c>
      <c r="G26" s="67" t="s">
        <v>112</v>
      </c>
      <c r="H26" t="s">
        <v>44</v>
      </c>
    </row>
    <row r="27" spans="1:8" x14ac:dyDescent="0.3">
      <c r="A27" t="s">
        <v>110</v>
      </c>
      <c r="B27">
        <v>12</v>
      </c>
      <c r="C27" t="s">
        <v>113</v>
      </c>
      <c r="D27" t="s">
        <v>331</v>
      </c>
      <c r="E27" t="s">
        <v>114</v>
      </c>
      <c r="F27" t="s">
        <v>84</v>
      </c>
      <c r="G27" s="67" t="s">
        <v>115</v>
      </c>
      <c r="H27" t="s">
        <v>36</v>
      </c>
    </row>
    <row r="28" spans="1:8" x14ac:dyDescent="0.3">
      <c r="A28" t="s">
        <v>110</v>
      </c>
      <c r="B28">
        <v>13</v>
      </c>
      <c r="C28" t="s">
        <v>155</v>
      </c>
      <c r="D28" t="s">
        <v>330</v>
      </c>
      <c r="E28" t="s">
        <v>114</v>
      </c>
      <c r="F28" t="s">
        <v>84</v>
      </c>
      <c r="G28" t="s">
        <v>156</v>
      </c>
      <c r="H28" t="s">
        <v>415</v>
      </c>
    </row>
    <row r="29" spans="1:8" x14ac:dyDescent="0.3">
      <c r="A29" t="s">
        <v>110</v>
      </c>
      <c r="B29">
        <v>14</v>
      </c>
      <c r="C29" t="s">
        <v>116</v>
      </c>
      <c r="D29" t="s">
        <v>331</v>
      </c>
      <c r="E29" t="s">
        <v>114</v>
      </c>
      <c r="F29" t="s">
        <v>84</v>
      </c>
      <c r="G29">
        <v>35885</v>
      </c>
      <c r="H29" t="s">
        <v>36</v>
      </c>
    </row>
    <row r="30" spans="1:8" x14ac:dyDescent="0.3">
      <c r="A30" t="s">
        <v>110</v>
      </c>
      <c r="B30">
        <v>15</v>
      </c>
      <c r="C30" t="s">
        <v>342</v>
      </c>
      <c r="D30" t="s">
        <v>53</v>
      </c>
      <c r="E30" t="s">
        <v>114</v>
      </c>
      <c r="F30" t="s">
        <v>84</v>
      </c>
      <c r="H30" t="s">
        <v>36</v>
      </c>
    </row>
    <row r="31" spans="1:8" x14ac:dyDescent="0.3">
      <c r="A31" t="s">
        <v>110</v>
      </c>
      <c r="B31">
        <v>16</v>
      </c>
      <c r="C31" t="s">
        <v>117</v>
      </c>
      <c r="D31" t="s">
        <v>331</v>
      </c>
      <c r="E31" t="s">
        <v>114</v>
      </c>
      <c r="F31" t="s">
        <v>84</v>
      </c>
      <c r="H31" t="s">
        <v>47</v>
      </c>
    </row>
    <row r="32" spans="1:8" x14ac:dyDescent="0.3">
      <c r="A32" t="s">
        <v>110</v>
      </c>
      <c r="B32">
        <v>17</v>
      </c>
      <c r="C32" t="s">
        <v>281</v>
      </c>
      <c r="D32" t="s">
        <v>330</v>
      </c>
      <c r="E32" t="s">
        <v>114</v>
      </c>
      <c r="F32" t="s">
        <v>84</v>
      </c>
      <c r="G32" t="s">
        <v>338</v>
      </c>
      <c r="H32" t="s">
        <v>415</v>
      </c>
    </row>
    <row r="33" spans="1:8" x14ac:dyDescent="0.3">
      <c r="A33" t="s">
        <v>110</v>
      </c>
      <c r="B33">
        <v>0</v>
      </c>
      <c r="C33" t="s">
        <v>187</v>
      </c>
      <c r="D33" t="s">
        <v>331</v>
      </c>
      <c r="E33" t="s">
        <v>114</v>
      </c>
      <c r="F33" t="s">
        <v>84</v>
      </c>
      <c r="G33">
        <v>40829</v>
      </c>
      <c r="H33" t="s">
        <v>36</v>
      </c>
    </row>
    <row r="34" spans="1:8" x14ac:dyDescent="0.3">
      <c r="A34" t="s">
        <v>110</v>
      </c>
      <c r="B34">
        <v>21</v>
      </c>
      <c r="C34" t="s">
        <v>118</v>
      </c>
      <c r="D34" t="s">
        <v>54</v>
      </c>
      <c r="E34" t="s">
        <v>114</v>
      </c>
      <c r="F34" t="s">
        <v>84</v>
      </c>
      <c r="G34">
        <v>44789</v>
      </c>
      <c r="H34" t="s">
        <v>47</v>
      </c>
    </row>
    <row r="35" spans="1:8" x14ac:dyDescent="0.3">
      <c r="A35" t="s">
        <v>110</v>
      </c>
      <c r="B35">
        <v>22</v>
      </c>
      <c r="C35" t="s">
        <v>119</v>
      </c>
      <c r="D35" t="s">
        <v>48</v>
      </c>
      <c r="E35" t="s">
        <v>114</v>
      </c>
      <c r="F35" t="s">
        <v>84</v>
      </c>
      <c r="G35">
        <v>27200</v>
      </c>
      <c r="H35" t="s">
        <v>36</v>
      </c>
    </row>
    <row r="36" spans="1:8" x14ac:dyDescent="0.3">
      <c r="A36" t="s">
        <v>110</v>
      </c>
      <c r="B36">
        <v>24</v>
      </c>
      <c r="C36" t="s">
        <v>120</v>
      </c>
      <c r="D36" t="s">
        <v>332</v>
      </c>
      <c r="E36" t="s">
        <v>114</v>
      </c>
      <c r="F36" t="s">
        <v>84</v>
      </c>
      <c r="G36">
        <v>29188</v>
      </c>
      <c r="H36" t="s">
        <v>36</v>
      </c>
    </row>
    <row r="37" spans="1:8" x14ac:dyDescent="0.3">
      <c r="A37" t="s">
        <v>110</v>
      </c>
      <c r="B37">
        <v>25</v>
      </c>
      <c r="C37" t="s">
        <v>121</v>
      </c>
      <c r="D37" t="s">
        <v>53</v>
      </c>
      <c r="E37" t="s">
        <v>114</v>
      </c>
      <c r="F37" t="s">
        <v>84</v>
      </c>
      <c r="G37" s="67" t="s">
        <v>122</v>
      </c>
      <c r="H37" t="s">
        <v>36</v>
      </c>
    </row>
    <row r="38" spans="1:8" x14ac:dyDescent="0.3">
      <c r="A38" t="s">
        <v>110</v>
      </c>
      <c r="B38">
        <v>26</v>
      </c>
      <c r="C38" t="s">
        <v>339</v>
      </c>
      <c r="D38" t="s">
        <v>340</v>
      </c>
      <c r="E38" t="s">
        <v>114</v>
      </c>
      <c r="F38" t="s">
        <v>84</v>
      </c>
      <c r="H38" t="s">
        <v>36</v>
      </c>
    </row>
    <row r="39" spans="1:8" x14ac:dyDescent="0.3">
      <c r="A39" t="s">
        <v>110</v>
      </c>
      <c r="B39">
        <v>27</v>
      </c>
      <c r="C39" t="s">
        <v>123</v>
      </c>
      <c r="D39" t="s">
        <v>335</v>
      </c>
      <c r="E39" t="s">
        <v>114</v>
      </c>
      <c r="F39" t="s">
        <v>84</v>
      </c>
      <c r="G39">
        <v>9999</v>
      </c>
      <c r="H39" t="s">
        <v>44</v>
      </c>
    </row>
    <row r="40" spans="1:8" x14ac:dyDescent="0.3">
      <c r="A40" t="s">
        <v>110</v>
      </c>
      <c r="B40">
        <v>29</v>
      </c>
      <c r="C40" t="s">
        <v>124</v>
      </c>
      <c r="D40" t="s">
        <v>53</v>
      </c>
      <c r="E40" t="s">
        <v>114</v>
      </c>
      <c r="F40" t="s">
        <v>84</v>
      </c>
      <c r="G40">
        <v>123</v>
      </c>
      <c r="H40" t="s">
        <v>44</v>
      </c>
    </row>
    <row r="41" spans="1:8" x14ac:dyDescent="0.3">
      <c r="A41" t="s">
        <v>110</v>
      </c>
      <c r="B41">
        <v>33</v>
      </c>
      <c r="C41" t="s">
        <v>125</v>
      </c>
      <c r="D41" t="s">
        <v>331</v>
      </c>
      <c r="E41" t="s">
        <v>114</v>
      </c>
      <c r="F41" t="s">
        <v>84</v>
      </c>
      <c r="G41">
        <v>391418</v>
      </c>
      <c r="H41" t="s">
        <v>36</v>
      </c>
    </row>
    <row r="42" spans="1:8" x14ac:dyDescent="0.3">
      <c r="A42" t="s">
        <v>110</v>
      </c>
      <c r="B42">
        <v>35</v>
      </c>
      <c r="C42" t="s">
        <v>126</v>
      </c>
      <c r="D42" t="s">
        <v>55</v>
      </c>
      <c r="E42" t="s">
        <v>114</v>
      </c>
      <c r="F42" t="s">
        <v>84</v>
      </c>
      <c r="H42" t="s">
        <v>44</v>
      </c>
    </row>
    <row r="43" spans="1:8" x14ac:dyDescent="0.3">
      <c r="A43" t="s">
        <v>110</v>
      </c>
      <c r="B43">
        <v>38</v>
      </c>
      <c r="C43" t="s">
        <v>127</v>
      </c>
      <c r="D43" t="s">
        <v>331</v>
      </c>
      <c r="E43" t="s">
        <v>114</v>
      </c>
      <c r="F43" t="s">
        <v>84</v>
      </c>
      <c r="G43">
        <v>43447</v>
      </c>
      <c r="H43" t="s">
        <v>44</v>
      </c>
    </row>
    <row r="44" spans="1:8" x14ac:dyDescent="0.3">
      <c r="A44" t="s">
        <v>110</v>
      </c>
      <c r="B44">
        <v>41</v>
      </c>
      <c r="C44" t="s">
        <v>128</v>
      </c>
      <c r="D44" t="s">
        <v>333</v>
      </c>
      <c r="E44" t="s">
        <v>114</v>
      </c>
      <c r="F44" t="s">
        <v>84</v>
      </c>
      <c r="G44" t="s">
        <v>129</v>
      </c>
      <c r="H44" t="s">
        <v>44</v>
      </c>
    </row>
    <row r="45" spans="1:8" x14ac:dyDescent="0.3">
      <c r="A45" t="s">
        <v>110</v>
      </c>
      <c r="B45">
        <v>42</v>
      </c>
      <c r="C45" t="s">
        <v>130</v>
      </c>
      <c r="D45" t="s">
        <v>333</v>
      </c>
      <c r="E45" t="s">
        <v>114</v>
      </c>
      <c r="F45" t="s">
        <v>84</v>
      </c>
      <c r="G45" s="67" t="s">
        <v>131</v>
      </c>
      <c r="H45" t="s">
        <v>44</v>
      </c>
    </row>
    <row r="46" spans="1:8" x14ac:dyDescent="0.3">
      <c r="A46" t="s">
        <v>110</v>
      </c>
      <c r="B46">
        <v>43</v>
      </c>
      <c r="C46" t="s">
        <v>132</v>
      </c>
      <c r="D46" t="s">
        <v>331</v>
      </c>
      <c r="E46" t="s">
        <v>114</v>
      </c>
      <c r="F46" t="s">
        <v>84</v>
      </c>
      <c r="G46">
        <v>2094</v>
      </c>
      <c r="H46" t="s">
        <v>36</v>
      </c>
    </row>
    <row r="47" spans="1:8" x14ac:dyDescent="0.3">
      <c r="A47" t="s">
        <v>110</v>
      </c>
      <c r="B47">
        <v>44</v>
      </c>
      <c r="C47" t="s">
        <v>345</v>
      </c>
      <c r="D47" t="s">
        <v>331</v>
      </c>
      <c r="E47" t="s">
        <v>114</v>
      </c>
      <c r="F47" t="s">
        <v>84</v>
      </c>
      <c r="G47" t="s">
        <v>346</v>
      </c>
      <c r="H47" t="s">
        <v>39</v>
      </c>
    </row>
    <row r="48" spans="1:8" x14ac:dyDescent="0.3">
      <c r="A48" t="s">
        <v>110</v>
      </c>
      <c r="B48">
        <v>48</v>
      </c>
      <c r="C48" t="s">
        <v>133</v>
      </c>
      <c r="D48" t="s">
        <v>53</v>
      </c>
      <c r="E48" t="s">
        <v>114</v>
      </c>
      <c r="F48" t="s">
        <v>84</v>
      </c>
      <c r="H48" t="s">
        <v>44</v>
      </c>
    </row>
    <row r="49" spans="1:8" x14ac:dyDescent="0.3">
      <c r="A49" t="s">
        <v>110</v>
      </c>
      <c r="B49">
        <v>50</v>
      </c>
      <c r="C49" t="s">
        <v>134</v>
      </c>
      <c r="D49" t="s">
        <v>330</v>
      </c>
      <c r="E49" t="s">
        <v>114</v>
      </c>
      <c r="F49" t="s">
        <v>84</v>
      </c>
      <c r="G49" t="s">
        <v>135</v>
      </c>
      <c r="H49" t="s">
        <v>415</v>
      </c>
    </row>
    <row r="50" spans="1:8" x14ac:dyDescent="0.3">
      <c r="A50" t="s">
        <v>110</v>
      </c>
      <c r="B50">
        <v>51</v>
      </c>
      <c r="C50" t="s">
        <v>136</v>
      </c>
      <c r="D50" t="s">
        <v>334</v>
      </c>
      <c r="E50" t="s">
        <v>114</v>
      </c>
      <c r="F50" t="s">
        <v>84</v>
      </c>
      <c r="G50">
        <v>444</v>
      </c>
      <c r="H50" t="s">
        <v>415</v>
      </c>
    </row>
    <row r="51" spans="1:8" x14ac:dyDescent="0.3">
      <c r="A51" t="s">
        <v>110</v>
      </c>
      <c r="B51">
        <v>52</v>
      </c>
      <c r="C51" t="s">
        <v>137</v>
      </c>
      <c r="D51" t="s">
        <v>53</v>
      </c>
      <c r="E51" t="s">
        <v>114</v>
      </c>
      <c r="F51" t="s">
        <v>84</v>
      </c>
      <c r="G51">
        <v>27099</v>
      </c>
      <c r="H51" t="s">
        <v>44</v>
      </c>
    </row>
    <row r="52" spans="1:8" x14ac:dyDescent="0.3">
      <c r="A52" t="s">
        <v>110</v>
      </c>
      <c r="B52">
        <v>54</v>
      </c>
      <c r="C52" t="s">
        <v>138</v>
      </c>
      <c r="D52" t="s">
        <v>331</v>
      </c>
      <c r="E52" t="s">
        <v>114</v>
      </c>
      <c r="F52" t="s">
        <v>84</v>
      </c>
      <c r="G52">
        <v>35553</v>
      </c>
      <c r="H52" t="s">
        <v>36</v>
      </c>
    </row>
    <row r="53" spans="1:8" x14ac:dyDescent="0.3">
      <c r="A53" t="s">
        <v>110</v>
      </c>
      <c r="B53">
        <v>55</v>
      </c>
      <c r="C53" t="s">
        <v>139</v>
      </c>
      <c r="D53" t="s">
        <v>331</v>
      </c>
      <c r="E53" t="s">
        <v>114</v>
      </c>
      <c r="F53" t="s">
        <v>84</v>
      </c>
      <c r="H53" t="s">
        <v>47</v>
      </c>
    </row>
    <row r="54" spans="1:8" x14ac:dyDescent="0.3">
      <c r="A54" t="s">
        <v>110</v>
      </c>
      <c r="B54">
        <v>56</v>
      </c>
      <c r="C54" t="s">
        <v>336</v>
      </c>
      <c r="D54" t="s">
        <v>337</v>
      </c>
      <c r="E54" t="s">
        <v>114</v>
      </c>
      <c r="F54" t="s">
        <v>84</v>
      </c>
      <c r="G54">
        <v>999101116</v>
      </c>
      <c r="H54" t="s">
        <v>36</v>
      </c>
    </row>
    <row r="55" spans="1:8" x14ac:dyDescent="0.3">
      <c r="A55" t="s">
        <v>110</v>
      </c>
      <c r="B55">
        <v>57</v>
      </c>
      <c r="C55" t="s">
        <v>315</v>
      </c>
      <c r="D55" t="s">
        <v>333</v>
      </c>
      <c r="E55" t="s">
        <v>114</v>
      </c>
      <c r="F55" t="s">
        <v>84</v>
      </c>
      <c r="G55">
        <v>1032</v>
      </c>
      <c r="H55" t="s">
        <v>36</v>
      </c>
    </row>
    <row r="56" spans="1:8" x14ac:dyDescent="0.3">
      <c r="A56" t="s">
        <v>110</v>
      </c>
      <c r="B56">
        <v>60</v>
      </c>
      <c r="C56" t="s">
        <v>140</v>
      </c>
      <c r="D56" t="s">
        <v>331</v>
      </c>
      <c r="E56" t="s">
        <v>114</v>
      </c>
      <c r="F56" t="s">
        <v>84</v>
      </c>
      <c r="G56">
        <v>37443</v>
      </c>
      <c r="H56" t="s">
        <v>36</v>
      </c>
    </row>
    <row r="57" spans="1:8" x14ac:dyDescent="0.3">
      <c r="A57" t="s">
        <v>110</v>
      </c>
      <c r="B57">
        <v>62</v>
      </c>
      <c r="C57" t="s">
        <v>295</v>
      </c>
      <c r="D57" t="s">
        <v>330</v>
      </c>
      <c r="E57" t="s">
        <v>114</v>
      </c>
      <c r="F57" t="s">
        <v>84</v>
      </c>
      <c r="G57">
        <v>43758</v>
      </c>
      <c r="H57" t="s">
        <v>47</v>
      </c>
    </row>
    <row r="58" spans="1:8" x14ac:dyDescent="0.3">
      <c r="A58" t="s">
        <v>110</v>
      </c>
      <c r="B58">
        <v>63</v>
      </c>
      <c r="C58" t="s">
        <v>343</v>
      </c>
      <c r="D58" t="s">
        <v>331</v>
      </c>
      <c r="E58" t="s">
        <v>114</v>
      </c>
      <c r="F58" t="s">
        <v>84</v>
      </c>
      <c r="G58" s="67" t="s">
        <v>344</v>
      </c>
      <c r="H58" t="s">
        <v>415</v>
      </c>
    </row>
    <row r="59" spans="1:8" x14ac:dyDescent="0.3">
      <c r="A59" t="s">
        <v>110</v>
      </c>
      <c r="B59">
        <v>68</v>
      </c>
      <c r="C59" t="s">
        <v>141</v>
      </c>
      <c r="D59" t="s">
        <v>332</v>
      </c>
      <c r="E59" t="s">
        <v>114</v>
      </c>
      <c r="F59" t="s">
        <v>84</v>
      </c>
      <c r="G59" s="67" t="s">
        <v>142</v>
      </c>
      <c r="H59" t="s">
        <v>36</v>
      </c>
    </row>
    <row r="60" spans="1:8" x14ac:dyDescent="0.3">
      <c r="A60" t="s">
        <v>110</v>
      </c>
      <c r="B60">
        <v>69</v>
      </c>
      <c r="C60" t="s">
        <v>143</v>
      </c>
      <c r="D60" t="s">
        <v>331</v>
      </c>
      <c r="E60" t="s">
        <v>114</v>
      </c>
      <c r="F60" t="s">
        <v>84</v>
      </c>
      <c r="G60" s="67" t="s">
        <v>144</v>
      </c>
      <c r="H60" t="s">
        <v>44</v>
      </c>
    </row>
    <row r="61" spans="1:8" x14ac:dyDescent="0.3">
      <c r="A61" t="s">
        <v>110</v>
      </c>
      <c r="B61">
        <v>70</v>
      </c>
      <c r="C61" t="s">
        <v>145</v>
      </c>
      <c r="D61" t="s">
        <v>332</v>
      </c>
      <c r="E61" t="s">
        <v>114</v>
      </c>
      <c r="F61" t="s">
        <v>84</v>
      </c>
      <c r="G61" t="s">
        <v>129</v>
      </c>
      <c r="H61" t="s">
        <v>36</v>
      </c>
    </row>
    <row r="62" spans="1:8" x14ac:dyDescent="0.3">
      <c r="A62" t="s">
        <v>110</v>
      </c>
      <c r="B62">
        <v>72</v>
      </c>
      <c r="C62" t="s">
        <v>146</v>
      </c>
      <c r="D62" t="s">
        <v>330</v>
      </c>
      <c r="E62" t="s">
        <v>114</v>
      </c>
      <c r="F62" t="s">
        <v>84</v>
      </c>
      <c r="G62" t="s">
        <v>147</v>
      </c>
      <c r="H62" t="s">
        <v>415</v>
      </c>
    </row>
    <row r="63" spans="1:8" x14ac:dyDescent="0.3">
      <c r="A63" t="s">
        <v>110</v>
      </c>
      <c r="B63">
        <v>74</v>
      </c>
      <c r="C63" t="s">
        <v>341</v>
      </c>
      <c r="D63" t="s">
        <v>332</v>
      </c>
      <c r="E63" t="s">
        <v>114</v>
      </c>
      <c r="F63" t="s">
        <v>84</v>
      </c>
      <c r="G63">
        <v>4813</v>
      </c>
      <c r="H63" t="s">
        <v>44</v>
      </c>
    </row>
    <row r="64" spans="1:8" x14ac:dyDescent="0.3">
      <c r="A64" t="s">
        <v>110</v>
      </c>
      <c r="B64">
        <v>75</v>
      </c>
      <c r="C64" t="s">
        <v>148</v>
      </c>
      <c r="D64" t="s">
        <v>334</v>
      </c>
      <c r="E64" t="s">
        <v>114</v>
      </c>
      <c r="F64" t="s">
        <v>84</v>
      </c>
      <c r="G64" s="67" t="s">
        <v>149</v>
      </c>
      <c r="H64" t="s">
        <v>36</v>
      </c>
    </row>
    <row r="65" spans="1:8" x14ac:dyDescent="0.3">
      <c r="A65" t="s">
        <v>110</v>
      </c>
      <c r="B65">
        <v>77</v>
      </c>
      <c r="C65" t="s">
        <v>150</v>
      </c>
      <c r="D65" t="s">
        <v>54</v>
      </c>
      <c r="E65" t="s">
        <v>114</v>
      </c>
      <c r="F65" t="s">
        <v>84</v>
      </c>
      <c r="G65" s="67" t="s">
        <v>151</v>
      </c>
      <c r="H65" t="s">
        <v>44</v>
      </c>
    </row>
    <row r="66" spans="1:8" x14ac:dyDescent="0.3">
      <c r="A66" t="s">
        <v>110</v>
      </c>
      <c r="B66">
        <v>81</v>
      </c>
      <c r="C66" t="s">
        <v>152</v>
      </c>
      <c r="D66" t="s">
        <v>331</v>
      </c>
      <c r="E66" t="s">
        <v>114</v>
      </c>
      <c r="F66" t="s">
        <v>84</v>
      </c>
      <c r="G66">
        <v>37349</v>
      </c>
      <c r="H66" t="s">
        <v>44</v>
      </c>
    </row>
    <row r="67" spans="1:8" x14ac:dyDescent="0.3">
      <c r="A67" t="s">
        <v>110</v>
      </c>
      <c r="B67">
        <v>99</v>
      </c>
      <c r="C67" t="s">
        <v>153</v>
      </c>
      <c r="D67" t="s">
        <v>54</v>
      </c>
      <c r="E67" t="s">
        <v>114</v>
      </c>
      <c r="F67" t="s">
        <v>84</v>
      </c>
      <c r="G67">
        <v>30040127</v>
      </c>
      <c r="H67" t="s">
        <v>36</v>
      </c>
    </row>
    <row r="68" spans="1:8" x14ac:dyDescent="0.3">
      <c r="A68" t="s">
        <v>110</v>
      </c>
      <c r="B68">
        <v>107</v>
      </c>
      <c r="C68" t="s">
        <v>154</v>
      </c>
      <c r="D68" t="s">
        <v>331</v>
      </c>
      <c r="E68" t="s">
        <v>114</v>
      </c>
      <c r="F68" t="s">
        <v>84</v>
      </c>
      <c r="H68" t="s">
        <v>47</v>
      </c>
    </row>
    <row r="69" spans="1:8" x14ac:dyDescent="0.3">
      <c r="A69" t="s">
        <v>110</v>
      </c>
      <c r="B69">
        <v>790</v>
      </c>
      <c r="C69" t="s">
        <v>157</v>
      </c>
      <c r="D69" t="s">
        <v>53</v>
      </c>
      <c r="E69" t="s">
        <v>114</v>
      </c>
      <c r="F69" t="s">
        <v>84</v>
      </c>
      <c r="H69" t="s">
        <v>36</v>
      </c>
    </row>
    <row r="70" spans="1:8" x14ac:dyDescent="0.3">
      <c r="A70" t="s">
        <v>158</v>
      </c>
      <c r="B70">
        <v>107</v>
      </c>
      <c r="C70" t="s">
        <v>154</v>
      </c>
      <c r="D70" t="s">
        <v>331</v>
      </c>
      <c r="E70" t="s">
        <v>114</v>
      </c>
      <c r="F70" t="s">
        <v>84</v>
      </c>
      <c r="G70">
        <v>7290</v>
      </c>
      <c r="H70" t="s">
        <v>47</v>
      </c>
    </row>
    <row r="71" spans="1:8" x14ac:dyDescent="0.3">
      <c r="A71" t="s">
        <v>158</v>
      </c>
      <c r="B71">
        <v>111</v>
      </c>
      <c r="C71" t="s">
        <v>160</v>
      </c>
      <c r="D71" t="s">
        <v>331</v>
      </c>
      <c r="E71" t="s">
        <v>114</v>
      </c>
      <c r="F71" t="s">
        <v>84</v>
      </c>
      <c r="G71">
        <v>6259</v>
      </c>
      <c r="H71" t="s">
        <v>44</v>
      </c>
    </row>
    <row r="72" spans="1:8" x14ac:dyDescent="0.3">
      <c r="A72" t="s">
        <v>158</v>
      </c>
      <c r="B72">
        <v>112</v>
      </c>
      <c r="C72" t="s">
        <v>350</v>
      </c>
      <c r="D72" t="s">
        <v>332</v>
      </c>
      <c r="E72" t="s">
        <v>114</v>
      </c>
      <c r="F72" t="s">
        <v>84</v>
      </c>
      <c r="G72" t="s">
        <v>129</v>
      </c>
      <c r="H72" t="s">
        <v>47</v>
      </c>
    </row>
    <row r="73" spans="1:8" x14ac:dyDescent="0.3">
      <c r="A73" t="s">
        <v>158</v>
      </c>
      <c r="B73">
        <v>116</v>
      </c>
      <c r="C73" t="s">
        <v>161</v>
      </c>
      <c r="D73" t="s">
        <v>331</v>
      </c>
      <c r="E73" t="s">
        <v>114</v>
      </c>
      <c r="F73" t="s">
        <v>84</v>
      </c>
      <c r="G73">
        <v>27116</v>
      </c>
      <c r="H73" t="s">
        <v>44</v>
      </c>
    </row>
    <row r="74" spans="1:8" x14ac:dyDescent="0.3">
      <c r="A74" t="s">
        <v>158</v>
      </c>
      <c r="B74">
        <v>123</v>
      </c>
      <c r="C74" t="s">
        <v>162</v>
      </c>
      <c r="E74" t="s">
        <v>114</v>
      </c>
      <c r="F74" t="s">
        <v>84</v>
      </c>
      <c r="G74">
        <v>13349</v>
      </c>
      <c r="H74" t="s">
        <v>44</v>
      </c>
    </row>
    <row r="75" spans="1:8" x14ac:dyDescent="0.3">
      <c r="A75" t="s">
        <v>158</v>
      </c>
      <c r="B75">
        <v>124</v>
      </c>
      <c r="C75" t="s">
        <v>163</v>
      </c>
      <c r="D75" t="s">
        <v>53</v>
      </c>
      <c r="E75" t="s">
        <v>114</v>
      </c>
      <c r="F75" t="s">
        <v>84</v>
      </c>
      <c r="G75">
        <v>42258</v>
      </c>
      <c r="H75" t="s">
        <v>44</v>
      </c>
    </row>
    <row r="76" spans="1:8" x14ac:dyDescent="0.3">
      <c r="A76" t="s">
        <v>158</v>
      </c>
      <c r="B76">
        <v>127</v>
      </c>
      <c r="C76" t="s">
        <v>164</v>
      </c>
      <c r="D76" t="s">
        <v>331</v>
      </c>
      <c r="E76" t="s">
        <v>114</v>
      </c>
      <c r="F76" t="s">
        <v>84</v>
      </c>
      <c r="G76" t="s">
        <v>165</v>
      </c>
      <c r="H76" t="s">
        <v>39</v>
      </c>
    </row>
    <row r="77" spans="1:8" x14ac:dyDescent="0.3">
      <c r="A77" t="s">
        <v>158</v>
      </c>
      <c r="B77">
        <v>135</v>
      </c>
      <c r="C77" t="s">
        <v>166</v>
      </c>
      <c r="D77" t="s">
        <v>331</v>
      </c>
      <c r="E77" t="s">
        <v>114</v>
      </c>
      <c r="F77" t="s">
        <v>84</v>
      </c>
      <c r="G77">
        <v>29020</v>
      </c>
      <c r="H77" t="s">
        <v>36</v>
      </c>
    </row>
    <row r="78" spans="1:8" x14ac:dyDescent="0.3">
      <c r="A78" t="s">
        <v>158</v>
      </c>
      <c r="B78">
        <v>139</v>
      </c>
      <c r="C78" t="s">
        <v>351</v>
      </c>
      <c r="D78" t="s">
        <v>348</v>
      </c>
      <c r="E78" t="s">
        <v>114</v>
      </c>
      <c r="F78" t="s">
        <v>84</v>
      </c>
      <c r="G78" t="s">
        <v>352</v>
      </c>
      <c r="H78" t="s">
        <v>47</v>
      </c>
    </row>
    <row r="79" spans="1:8" x14ac:dyDescent="0.3">
      <c r="A79" t="s">
        <v>158</v>
      </c>
      <c r="B79">
        <v>142</v>
      </c>
      <c r="C79" t="s">
        <v>167</v>
      </c>
      <c r="D79" t="s">
        <v>331</v>
      </c>
      <c r="E79" t="s">
        <v>114</v>
      </c>
      <c r="F79" t="s">
        <v>84</v>
      </c>
      <c r="G79" s="67" t="s">
        <v>168</v>
      </c>
      <c r="H79" t="s">
        <v>47</v>
      </c>
    </row>
    <row r="80" spans="1:8" x14ac:dyDescent="0.3">
      <c r="A80" t="s">
        <v>158</v>
      </c>
      <c r="B80">
        <v>152</v>
      </c>
      <c r="C80" t="s">
        <v>349</v>
      </c>
      <c r="D80" t="s">
        <v>331</v>
      </c>
      <c r="E80" t="s">
        <v>114</v>
      </c>
      <c r="F80" t="s">
        <v>84</v>
      </c>
      <c r="G80">
        <v>6477</v>
      </c>
      <c r="H80" t="s">
        <v>36</v>
      </c>
    </row>
    <row r="81" spans="1:8" x14ac:dyDescent="0.3">
      <c r="A81" t="s">
        <v>158</v>
      </c>
      <c r="B81">
        <v>161</v>
      </c>
      <c r="C81" t="s">
        <v>159</v>
      </c>
      <c r="D81" t="s">
        <v>53</v>
      </c>
      <c r="E81" t="s">
        <v>114</v>
      </c>
      <c r="F81" t="s">
        <v>84</v>
      </c>
      <c r="G81">
        <v>18241</v>
      </c>
      <c r="H81" t="s">
        <v>36</v>
      </c>
    </row>
    <row r="82" spans="1:8" x14ac:dyDescent="0.3">
      <c r="A82" t="s">
        <v>158</v>
      </c>
      <c r="B82">
        <v>169</v>
      </c>
      <c r="C82" t="s">
        <v>169</v>
      </c>
      <c r="D82" t="s">
        <v>332</v>
      </c>
      <c r="E82" t="s">
        <v>114</v>
      </c>
      <c r="F82" t="s">
        <v>84</v>
      </c>
      <c r="G82">
        <v>2227</v>
      </c>
      <c r="H82" t="s">
        <v>47</v>
      </c>
    </row>
    <row r="83" spans="1:8" x14ac:dyDescent="0.3">
      <c r="A83" t="s">
        <v>158</v>
      </c>
      <c r="B83">
        <v>171</v>
      </c>
      <c r="C83" t="s">
        <v>170</v>
      </c>
      <c r="D83" t="s">
        <v>348</v>
      </c>
      <c r="E83" t="s">
        <v>114</v>
      </c>
      <c r="F83" t="s">
        <v>84</v>
      </c>
      <c r="G83">
        <v>3757</v>
      </c>
      <c r="H83" t="s">
        <v>36</v>
      </c>
    </row>
    <row r="84" spans="1:8" x14ac:dyDescent="0.3">
      <c r="A84" t="s">
        <v>158</v>
      </c>
      <c r="B84">
        <v>172</v>
      </c>
      <c r="C84" t="s">
        <v>171</v>
      </c>
      <c r="D84" t="s">
        <v>331</v>
      </c>
      <c r="E84" t="s">
        <v>114</v>
      </c>
      <c r="F84" t="s">
        <v>84</v>
      </c>
      <c r="G84">
        <v>123</v>
      </c>
      <c r="H84" t="s">
        <v>44</v>
      </c>
    </row>
    <row r="85" spans="1:8" x14ac:dyDescent="0.3">
      <c r="A85" t="s">
        <v>158</v>
      </c>
      <c r="B85">
        <v>177</v>
      </c>
      <c r="C85" t="s">
        <v>172</v>
      </c>
      <c r="D85" t="s">
        <v>331</v>
      </c>
      <c r="E85" t="s">
        <v>114</v>
      </c>
      <c r="F85" t="s">
        <v>84</v>
      </c>
      <c r="G85">
        <v>12400</v>
      </c>
      <c r="H85" t="s">
        <v>44</v>
      </c>
    </row>
    <row r="86" spans="1:8" x14ac:dyDescent="0.3">
      <c r="A86" t="s">
        <v>158</v>
      </c>
      <c r="B86">
        <v>183</v>
      </c>
      <c r="C86" t="s">
        <v>173</v>
      </c>
      <c r="D86" t="s">
        <v>331</v>
      </c>
      <c r="E86" t="s">
        <v>114</v>
      </c>
      <c r="F86" t="s">
        <v>84</v>
      </c>
      <c r="G86">
        <v>38098</v>
      </c>
      <c r="H86" t="s">
        <v>36</v>
      </c>
    </row>
    <row r="87" spans="1:8" x14ac:dyDescent="0.3">
      <c r="A87" t="s">
        <v>158</v>
      </c>
      <c r="B87">
        <v>188</v>
      </c>
      <c r="C87" t="s">
        <v>174</v>
      </c>
      <c r="D87" t="s">
        <v>347</v>
      </c>
      <c r="E87" t="s">
        <v>114</v>
      </c>
      <c r="F87" t="s">
        <v>84</v>
      </c>
      <c r="G87" s="67" t="s">
        <v>175</v>
      </c>
      <c r="H87" t="s">
        <v>44</v>
      </c>
    </row>
    <row r="88" spans="1:8" x14ac:dyDescent="0.3">
      <c r="A88" t="s">
        <v>176</v>
      </c>
      <c r="B88">
        <v>412</v>
      </c>
      <c r="C88" t="s">
        <v>177</v>
      </c>
      <c r="D88" t="s">
        <v>353</v>
      </c>
      <c r="E88" t="s">
        <v>114</v>
      </c>
      <c r="F88" t="s">
        <v>84</v>
      </c>
      <c r="G88">
        <v>20828</v>
      </c>
      <c r="H88" t="s">
        <v>36</v>
      </c>
    </row>
    <row r="89" spans="1:8" x14ac:dyDescent="0.3">
      <c r="A89" t="s">
        <v>176</v>
      </c>
      <c r="B89">
        <v>413</v>
      </c>
      <c r="C89" t="s">
        <v>361</v>
      </c>
      <c r="D89" t="s">
        <v>332</v>
      </c>
      <c r="E89" t="s">
        <v>114</v>
      </c>
      <c r="F89" t="s">
        <v>84</v>
      </c>
      <c r="H89" t="s">
        <v>47</v>
      </c>
    </row>
    <row r="90" spans="1:8" x14ac:dyDescent="0.3">
      <c r="A90" t="s">
        <v>176</v>
      </c>
      <c r="B90">
        <v>414</v>
      </c>
      <c r="C90" t="s">
        <v>359</v>
      </c>
      <c r="D90" t="s">
        <v>353</v>
      </c>
      <c r="E90" t="s">
        <v>114</v>
      </c>
      <c r="F90" t="s">
        <v>84</v>
      </c>
      <c r="G90">
        <v>45904</v>
      </c>
      <c r="H90" t="s">
        <v>36</v>
      </c>
    </row>
    <row r="91" spans="1:8" x14ac:dyDescent="0.3">
      <c r="A91" t="s">
        <v>176</v>
      </c>
      <c r="B91">
        <v>415</v>
      </c>
      <c r="C91" t="s">
        <v>178</v>
      </c>
      <c r="D91" t="s">
        <v>330</v>
      </c>
      <c r="E91" t="s">
        <v>114</v>
      </c>
      <c r="F91" t="s">
        <v>84</v>
      </c>
      <c r="G91">
        <v>23972</v>
      </c>
      <c r="H91" t="s">
        <v>44</v>
      </c>
    </row>
    <row r="92" spans="1:8" x14ac:dyDescent="0.3">
      <c r="A92" t="s">
        <v>176</v>
      </c>
      <c r="B92">
        <v>416</v>
      </c>
      <c r="C92" t="s">
        <v>366</v>
      </c>
      <c r="D92" t="s">
        <v>332</v>
      </c>
      <c r="E92" t="s">
        <v>114</v>
      </c>
      <c r="F92" t="s">
        <v>84</v>
      </c>
      <c r="G92">
        <v>37414</v>
      </c>
      <c r="H92" t="s">
        <v>44</v>
      </c>
    </row>
    <row r="93" spans="1:8" x14ac:dyDescent="0.3">
      <c r="A93" t="s">
        <v>176</v>
      </c>
      <c r="B93">
        <v>417</v>
      </c>
      <c r="C93" t="s">
        <v>179</v>
      </c>
      <c r="D93" t="s">
        <v>53</v>
      </c>
      <c r="E93" t="s">
        <v>114</v>
      </c>
      <c r="F93" t="s">
        <v>84</v>
      </c>
      <c r="H93" t="s">
        <v>44</v>
      </c>
    </row>
    <row r="94" spans="1:8" x14ac:dyDescent="0.3">
      <c r="A94" t="s">
        <v>176</v>
      </c>
      <c r="B94">
        <v>418</v>
      </c>
      <c r="C94" t="s">
        <v>180</v>
      </c>
      <c r="D94" t="s">
        <v>347</v>
      </c>
      <c r="E94" t="s">
        <v>114</v>
      </c>
      <c r="F94" t="s">
        <v>84</v>
      </c>
      <c r="G94">
        <v>41967</v>
      </c>
      <c r="H94" t="s">
        <v>44</v>
      </c>
    </row>
    <row r="95" spans="1:8" x14ac:dyDescent="0.3">
      <c r="A95" t="s">
        <v>176</v>
      </c>
      <c r="B95">
        <v>419</v>
      </c>
      <c r="C95" t="s">
        <v>249</v>
      </c>
      <c r="D95" t="s">
        <v>332</v>
      </c>
      <c r="E95" t="s">
        <v>114</v>
      </c>
      <c r="F95" t="s">
        <v>84</v>
      </c>
      <c r="G95">
        <v>31038</v>
      </c>
      <c r="H95" t="s">
        <v>355</v>
      </c>
    </row>
    <row r="96" spans="1:8" x14ac:dyDescent="0.3">
      <c r="A96" t="s">
        <v>176</v>
      </c>
      <c r="B96">
        <v>421</v>
      </c>
      <c r="C96" t="s">
        <v>216</v>
      </c>
      <c r="D96" t="s">
        <v>53</v>
      </c>
      <c r="E96" t="s">
        <v>114</v>
      </c>
      <c r="F96" t="s">
        <v>84</v>
      </c>
      <c r="G96">
        <v>37256</v>
      </c>
      <c r="H96" t="s">
        <v>44</v>
      </c>
    </row>
    <row r="97" spans="1:8" x14ac:dyDescent="0.3">
      <c r="A97" t="s">
        <v>176</v>
      </c>
      <c r="B97">
        <v>422</v>
      </c>
      <c r="C97" t="s">
        <v>245</v>
      </c>
      <c r="D97" t="s">
        <v>54</v>
      </c>
      <c r="E97" t="s">
        <v>114</v>
      </c>
      <c r="F97" t="s">
        <v>84</v>
      </c>
      <c r="G97">
        <v>31338</v>
      </c>
      <c r="H97" t="s">
        <v>36</v>
      </c>
    </row>
    <row r="98" spans="1:8" x14ac:dyDescent="0.3">
      <c r="A98" t="s">
        <v>176</v>
      </c>
      <c r="B98">
        <v>423</v>
      </c>
      <c r="C98" t="s">
        <v>186</v>
      </c>
      <c r="D98" t="s">
        <v>331</v>
      </c>
      <c r="E98" t="s">
        <v>114</v>
      </c>
      <c r="F98" t="s">
        <v>84</v>
      </c>
      <c r="G98">
        <v>26744</v>
      </c>
      <c r="H98" t="s">
        <v>44</v>
      </c>
    </row>
    <row r="99" spans="1:8" x14ac:dyDescent="0.3">
      <c r="A99" t="s">
        <v>176</v>
      </c>
      <c r="B99">
        <v>426</v>
      </c>
      <c r="C99" t="s">
        <v>182</v>
      </c>
      <c r="D99" t="s">
        <v>54</v>
      </c>
      <c r="E99" t="s">
        <v>114</v>
      </c>
      <c r="F99" t="s">
        <v>84</v>
      </c>
      <c r="G99">
        <v>37470</v>
      </c>
      <c r="H99" t="s">
        <v>36</v>
      </c>
    </row>
    <row r="100" spans="1:8" x14ac:dyDescent="0.3">
      <c r="A100" t="s">
        <v>176</v>
      </c>
      <c r="B100">
        <v>427</v>
      </c>
      <c r="C100" t="s">
        <v>183</v>
      </c>
      <c r="D100" t="s">
        <v>353</v>
      </c>
      <c r="E100" t="s">
        <v>114</v>
      </c>
      <c r="F100" t="s">
        <v>84</v>
      </c>
      <c r="G100">
        <v>37735</v>
      </c>
      <c r="H100" t="s">
        <v>36</v>
      </c>
    </row>
    <row r="101" spans="1:8" x14ac:dyDescent="0.3">
      <c r="A101" t="s">
        <v>176</v>
      </c>
      <c r="B101">
        <v>428</v>
      </c>
      <c r="C101" t="s">
        <v>184</v>
      </c>
      <c r="D101" t="s">
        <v>53</v>
      </c>
      <c r="E101" t="s">
        <v>114</v>
      </c>
      <c r="F101" t="s">
        <v>84</v>
      </c>
      <c r="G101">
        <v>19794</v>
      </c>
      <c r="H101" t="s">
        <v>36</v>
      </c>
    </row>
    <row r="102" spans="1:8" x14ac:dyDescent="0.3">
      <c r="A102" t="s">
        <v>354</v>
      </c>
      <c r="B102">
        <v>429</v>
      </c>
      <c r="C102" t="s">
        <v>250</v>
      </c>
      <c r="D102" t="s">
        <v>54</v>
      </c>
      <c r="E102" t="s">
        <v>114</v>
      </c>
      <c r="F102" t="s">
        <v>84</v>
      </c>
      <c r="G102">
        <v>39732</v>
      </c>
      <c r="H102" t="s">
        <v>36</v>
      </c>
    </row>
    <row r="103" spans="1:8" x14ac:dyDescent="0.3">
      <c r="A103" t="s">
        <v>176</v>
      </c>
      <c r="B103">
        <v>433</v>
      </c>
      <c r="C103" t="s">
        <v>188</v>
      </c>
      <c r="D103" t="s">
        <v>53</v>
      </c>
      <c r="E103" t="s">
        <v>114</v>
      </c>
      <c r="F103" t="s">
        <v>84</v>
      </c>
      <c r="G103">
        <v>31243</v>
      </c>
      <c r="H103" t="s">
        <v>44</v>
      </c>
    </row>
    <row r="104" spans="1:8" x14ac:dyDescent="0.3">
      <c r="A104" t="s">
        <v>176</v>
      </c>
      <c r="B104">
        <v>434</v>
      </c>
      <c r="C104" t="s">
        <v>52</v>
      </c>
      <c r="D104" t="s">
        <v>53</v>
      </c>
      <c r="E104" t="s">
        <v>114</v>
      </c>
      <c r="F104" t="s">
        <v>84</v>
      </c>
      <c r="G104" s="67" t="s">
        <v>360</v>
      </c>
      <c r="H104" t="s">
        <v>44</v>
      </c>
    </row>
    <row r="105" spans="1:8" x14ac:dyDescent="0.3">
      <c r="A105" t="s">
        <v>176</v>
      </c>
      <c r="B105">
        <v>435</v>
      </c>
      <c r="C105" t="s">
        <v>364</v>
      </c>
      <c r="D105" t="s">
        <v>333</v>
      </c>
      <c r="E105" t="s">
        <v>114</v>
      </c>
      <c r="F105" t="s">
        <v>84</v>
      </c>
      <c r="G105" t="s">
        <v>365</v>
      </c>
      <c r="H105" t="s">
        <v>36</v>
      </c>
    </row>
    <row r="106" spans="1:8" x14ac:dyDescent="0.3">
      <c r="A106" t="s">
        <v>176</v>
      </c>
      <c r="B106">
        <v>439</v>
      </c>
      <c r="C106" t="s">
        <v>189</v>
      </c>
      <c r="D106" t="s">
        <v>53</v>
      </c>
      <c r="E106" t="s">
        <v>114</v>
      </c>
      <c r="F106" t="s">
        <v>84</v>
      </c>
      <c r="G106">
        <v>19871</v>
      </c>
      <c r="H106" t="s">
        <v>36</v>
      </c>
    </row>
    <row r="107" spans="1:8" x14ac:dyDescent="0.3">
      <c r="A107" t="s">
        <v>176</v>
      </c>
      <c r="B107">
        <v>440</v>
      </c>
      <c r="C107" t="s">
        <v>190</v>
      </c>
      <c r="D107" t="s">
        <v>55</v>
      </c>
      <c r="E107" t="s">
        <v>114</v>
      </c>
      <c r="F107" t="s">
        <v>84</v>
      </c>
      <c r="G107">
        <v>44375</v>
      </c>
      <c r="H107" t="s">
        <v>36</v>
      </c>
    </row>
    <row r="108" spans="1:8" x14ac:dyDescent="0.3">
      <c r="A108" t="s">
        <v>176</v>
      </c>
      <c r="B108">
        <v>443</v>
      </c>
      <c r="C108" t="s">
        <v>50</v>
      </c>
      <c r="D108" t="s">
        <v>54</v>
      </c>
      <c r="E108" t="s">
        <v>114</v>
      </c>
      <c r="F108" t="s">
        <v>84</v>
      </c>
      <c r="G108">
        <v>43979</v>
      </c>
      <c r="H108" t="s">
        <v>36</v>
      </c>
    </row>
    <row r="109" spans="1:8" x14ac:dyDescent="0.3">
      <c r="A109" t="s">
        <v>176</v>
      </c>
      <c r="B109">
        <v>444</v>
      </c>
      <c r="C109" t="s">
        <v>191</v>
      </c>
      <c r="D109" t="s">
        <v>53</v>
      </c>
      <c r="E109" t="s">
        <v>114</v>
      </c>
      <c r="F109" t="s">
        <v>84</v>
      </c>
      <c r="G109" t="s">
        <v>129</v>
      </c>
      <c r="H109" t="s">
        <v>36</v>
      </c>
    </row>
    <row r="110" spans="1:8" x14ac:dyDescent="0.3">
      <c r="A110" t="s">
        <v>176</v>
      </c>
      <c r="B110">
        <v>445</v>
      </c>
      <c r="C110" t="s">
        <v>269</v>
      </c>
      <c r="D110" t="s">
        <v>48</v>
      </c>
      <c r="E110" t="s">
        <v>114</v>
      </c>
      <c r="F110" t="s">
        <v>84</v>
      </c>
      <c r="G110" t="s">
        <v>270</v>
      </c>
      <c r="H110" t="s">
        <v>415</v>
      </c>
    </row>
    <row r="111" spans="1:8" x14ac:dyDescent="0.3">
      <c r="A111" t="s">
        <v>176</v>
      </c>
      <c r="B111">
        <v>446</v>
      </c>
      <c r="C111" t="s">
        <v>227</v>
      </c>
      <c r="D111" t="s">
        <v>333</v>
      </c>
      <c r="E111" t="s">
        <v>114</v>
      </c>
      <c r="F111" t="s">
        <v>84</v>
      </c>
      <c r="H111" t="s">
        <v>44</v>
      </c>
    </row>
    <row r="112" spans="1:8" x14ac:dyDescent="0.3">
      <c r="A112" t="s">
        <v>176</v>
      </c>
      <c r="B112">
        <v>448</v>
      </c>
      <c r="C112" t="s">
        <v>255</v>
      </c>
      <c r="D112" t="s">
        <v>332</v>
      </c>
      <c r="E112" t="s">
        <v>114</v>
      </c>
      <c r="F112" t="s">
        <v>84</v>
      </c>
      <c r="G112">
        <v>37445</v>
      </c>
      <c r="H112" t="s">
        <v>36</v>
      </c>
    </row>
    <row r="113" spans="1:8" x14ac:dyDescent="0.3">
      <c r="A113" t="s">
        <v>176</v>
      </c>
      <c r="B113">
        <v>449</v>
      </c>
      <c r="C113" t="s">
        <v>254</v>
      </c>
      <c r="D113" t="s">
        <v>353</v>
      </c>
      <c r="E113" t="s">
        <v>114</v>
      </c>
      <c r="F113" t="s">
        <v>84</v>
      </c>
      <c r="G113">
        <v>39517</v>
      </c>
      <c r="H113" t="s">
        <v>44</v>
      </c>
    </row>
    <row r="114" spans="1:8" x14ac:dyDescent="0.3">
      <c r="A114" t="s">
        <v>176</v>
      </c>
      <c r="B114">
        <v>450</v>
      </c>
      <c r="C114" t="s">
        <v>194</v>
      </c>
      <c r="D114" t="s">
        <v>53</v>
      </c>
      <c r="E114" t="s">
        <v>114</v>
      </c>
      <c r="F114" t="s">
        <v>84</v>
      </c>
      <c r="G114" t="s">
        <v>129</v>
      </c>
      <c r="H114" t="s">
        <v>47</v>
      </c>
    </row>
    <row r="115" spans="1:8" x14ac:dyDescent="0.3">
      <c r="A115" t="s">
        <v>176</v>
      </c>
      <c r="B115">
        <v>452</v>
      </c>
      <c r="C115" t="s">
        <v>195</v>
      </c>
      <c r="D115" t="s">
        <v>53</v>
      </c>
      <c r="E115" t="s">
        <v>114</v>
      </c>
      <c r="F115" t="s">
        <v>84</v>
      </c>
      <c r="G115">
        <v>44509</v>
      </c>
      <c r="H115" t="s">
        <v>44</v>
      </c>
    </row>
    <row r="116" spans="1:8" x14ac:dyDescent="0.3">
      <c r="A116" t="s">
        <v>176</v>
      </c>
      <c r="B116">
        <v>453</v>
      </c>
      <c r="C116" t="s">
        <v>196</v>
      </c>
      <c r="D116" t="s">
        <v>55</v>
      </c>
      <c r="E116" t="s">
        <v>114</v>
      </c>
      <c r="F116" t="s">
        <v>84</v>
      </c>
      <c r="G116">
        <v>43446</v>
      </c>
      <c r="H116" t="s">
        <v>36</v>
      </c>
    </row>
    <row r="117" spans="1:8" x14ac:dyDescent="0.3">
      <c r="A117" t="s">
        <v>176</v>
      </c>
      <c r="B117">
        <v>454</v>
      </c>
      <c r="C117" t="s">
        <v>362</v>
      </c>
      <c r="D117" t="s">
        <v>53</v>
      </c>
      <c r="E117" t="s">
        <v>114</v>
      </c>
      <c r="F117" t="s">
        <v>84</v>
      </c>
      <c r="G117">
        <v>45825</v>
      </c>
      <c r="H117" t="s">
        <v>36</v>
      </c>
    </row>
    <row r="118" spans="1:8" x14ac:dyDescent="0.3">
      <c r="A118" t="s">
        <v>176</v>
      </c>
      <c r="B118">
        <v>456</v>
      </c>
      <c r="C118" t="s">
        <v>197</v>
      </c>
      <c r="D118" t="s">
        <v>332</v>
      </c>
      <c r="E118" t="s">
        <v>114</v>
      </c>
      <c r="F118" t="s">
        <v>84</v>
      </c>
      <c r="G118">
        <v>40378</v>
      </c>
      <c r="H118" t="s">
        <v>36</v>
      </c>
    </row>
    <row r="119" spans="1:8" x14ac:dyDescent="0.3">
      <c r="A119" t="s">
        <v>176</v>
      </c>
      <c r="B119">
        <v>457</v>
      </c>
      <c r="C119" t="s">
        <v>272</v>
      </c>
      <c r="D119" t="s">
        <v>333</v>
      </c>
      <c r="E119" t="s">
        <v>114</v>
      </c>
      <c r="F119" t="s">
        <v>84</v>
      </c>
      <c r="G119">
        <v>40374</v>
      </c>
      <c r="H119" t="s">
        <v>44</v>
      </c>
    </row>
    <row r="120" spans="1:8" x14ac:dyDescent="0.3">
      <c r="A120" t="s">
        <v>176</v>
      </c>
      <c r="B120">
        <v>461</v>
      </c>
      <c r="C120" t="s">
        <v>259</v>
      </c>
      <c r="D120" t="s">
        <v>53</v>
      </c>
      <c r="E120" t="s">
        <v>114</v>
      </c>
      <c r="F120" t="s">
        <v>84</v>
      </c>
      <c r="G120">
        <v>26476</v>
      </c>
      <c r="H120" t="s">
        <v>36</v>
      </c>
    </row>
    <row r="121" spans="1:8" x14ac:dyDescent="0.3">
      <c r="A121" t="s">
        <v>176</v>
      </c>
      <c r="B121">
        <v>462</v>
      </c>
      <c r="C121" t="s">
        <v>198</v>
      </c>
      <c r="D121" t="s">
        <v>333</v>
      </c>
      <c r="E121" t="s">
        <v>114</v>
      </c>
      <c r="F121" t="s">
        <v>84</v>
      </c>
      <c r="G121">
        <v>7440</v>
      </c>
      <c r="H121" t="s">
        <v>36</v>
      </c>
    </row>
    <row r="122" spans="1:8" x14ac:dyDescent="0.3">
      <c r="A122" t="s">
        <v>176</v>
      </c>
      <c r="B122">
        <v>463</v>
      </c>
      <c r="C122" t="s">
        <v>261</v>
      </c>
      <c r="D122" t="s">
        <v>334</v>
      </c>
      <c r="E122" t="s">
        <v>114</v>
      </c>
      <c r="F122" t="s">
        <v>84</v>
      </c>
      <c r="G122">
        <v>30986</v>
      </c>
      <c r="H122" t="s">
        <v>36</v>
      </c>
    </row>
    <row r="123" spans="1:8" x14ac:dyDescent="0.3">
      <c r="A123" t="s">
        <v>176</v>
      </c>
      <c r="B123">
        <v>465</v>
      </c>
      <c r="C123" t="s">
        <v>262</v>
      </c>
      <c r="D123" t="s">
        <v>331</v>
      </c>
      <c r="E123" t="s">
        <v>114</v>
      </c>
      <c r="F123" t="s">
        <v>84</v>
      </c>
      <c r="G123">
        <v>29025</v>
      </c>
      <c r="H123" t="s">
        <v>36</v>
      </c>
    </row>
    <row r="124" spans="1:8" x14ac:dyDescent="0.3">
      <c r="A124" t="s">
        <v>176</v>
      </c>
      <c r="B124">
        <v>467</v>
      </c>
      <c r="C124" t="s">
        <v>363</v>
      </c>
      <c r="D124" t="s">
        <v>353</v>
      </c>
      <c r="E124" t="s">
        <v>114</v>
      </c>
      <c r="F124" t="s">
        <v>84</v>
      </c>
      <c r="G124">
        <v>46202</v>
      </c>
      <c r="H124" t="s">
        <v>36</v>
      </c>
    </row>
    <row r="125" spans="1:8" x14ac:dyDescent="0.3">
      <c r="A125" t="s">
        <v>176</v>
      </c>
      <c r="B125">
        <v>468</v>
      </c>
      <c r="C125" t="s">
        <v>263</v>
      </c>
      <c r="D125" t="s">
        <v>332</v>
      </c>
      <c r="E125" t="s">
        <v>114</v>
      </c>
      <c r="F125" t="s">
        <v>84</v>
      </c>
      <c r="G125">
        <v>27816</v>
      </c>
      <c r="H125" t="s">
        <v>36</v>
      </c>
    </row>
    <row r="126" spans="1:8" x14ac:dyDescent="0.3">
      <c r="A126" t="s">
        <v>176</v>
      </c>
      <c r="B126">
        <v>470</v>
      </c>
      <c r="C126" t="s">
        <v>356</v>
      </c>
      <c r="D126" t="s">
        <v>357</v>
      </c>
      <c r="E126" t="s">
        <v>114</v>
      </c>
      <c r="F126" t="s">
        <v>84</v>
      </c>
      <c r="G126">
        <v>123</v>
      </c>
      <c r="H126" t="s">
        <v>44</v>
      </c>
    </row>
    <row r="127" spans="1:8" x14ac:dyDescent="0.3">
      <c r="A127" t="s">
        <v>176</v>
      </c>
      <c r="B127">
        <v>472</v>
      </c>
      <c r="C127" t="s">
        <v>267</v>
      </c>
      <c r="D127" t="s">
        <v>48</v>
      </c>
      <c r="E127" t="s">
        <v>114</v>
      </c>
      <c r="F127" t="s">
        <v>84</v>
      </c>
      <c r="G127">
        <v>44448</v>
      </c>
      <c r="H127" t="s">
        <v>47</v>
      </c>
    </row>
    <row r="128" spans="1:8" x14ac:dyDescent="0.3">
      <c r="A128" t="s">
        <v>176</v>
      </c>
      <c r="B128">
        <v>474</v>
      </c>
      <c r="C128" t="s">
        <v>257</v>
      </c>
      <c r="D128" t="s">
        <v>333</v>
      </c>
      <c r="E128" t="s">
        <v>114</v>
      </c>
      <c r="F128" t="s">
        <v>84</v>
      </c>
      <c r="G128">
        <v>40373</v>
      </c>
      <c r="H128" t="s">
        <v>44</v>
      </c>
    </row>
    <row r="129" spans="1:8" x14ac:dyDescent="0.3">
      <c r="A129" t="s">
        <v>176</v>
      </c>
      <c r="B129">
        <v>475</v>
      </c>
      <c r="C129" t="s">
        <v>253</v>
      </c>
      <c r="D129" t="s">
        <v>330</v>
      </c>
      <c r="E129" t="s">
        <v>114</v>
      </c>
      <c r="F129" t="s">
        <v>84</v>
      </c>
      <c r="G129">
        <v>697</v>
      </c>
      <c r="H129" t="s">
        <v>415</v>
      </c>
    </row>
    <row r="130" spans="1:8" x14ac:dyDescent="0.3">
      <c r="A130" t="s">
        <v>176</v>
      </c>
      <c r="B130">
        <v>476</v>
      </c>
      <c r="C130" t="s">
        <v>199</v>
      </c>
      <c r="D130" t="s">
        <v>53</v>
      </c>
      <c r="E130" t="s">
        <v>114</v>
      </c>
      <c r="F130" t="s">
        <v>84</v>
      </c>
      <c r="G130">
        <v>19860</v>
      </c>
      <c r="H130" t="s">
        <v>44</v>
      </c>
    </row>
    <row r="131" spans="1:8" x14ac:dyDescent="0.3">
      <c r="A131" t="s">
        <v>176</v>
      </c>
      <c r="B131">
        <v>477</v>
      </c>
      <c r="C131" t="s">
        <v>268</v>
      </c>
      <c r="D131" t="s">
        <v>353</v>
      </c>
      <c r="E131" t="s">
        <v>114</v>
      </c>
      <c r="F131" t="s">
        <v>84</v>
      </c>
      <c r="G131">
        <v>32644</v>
      </c>
      <c r="H131" t="s">
        <v>36</v>
      </c>
    </row>
    <row r="132" spans="1:8" x14ac:dyDescent="0.3">
      <c r="A132" t="s">
        <v>176</v>
      </c>
      <c r="B132">
        <v>478</v>
      </c>
      <c r="C132" t="s">
        <v>200</v>
      </c>
      <c r="D132" t="s">
        <v>330</v>
      </c>
      <c r="E132" t="s">
        <v>114</v>
      </c>
      <c r="F132" t="s">
        <v>84</v>
      </c>
      <c r="G132">
        <v>35788</v>
      </c>
      <c r="H132" t="s">
        <v>47</v>
      </c>
    </row>
    <row r="133" spans="1:8" x14ac:dyDescent="0.3">
      <c r="A133" t="s">
        <v>176</v>
      </c>
      <c r="B133">
        <v>480</v>
      </c>
      <c r="C133" t="s">
        <v>202</v>
      </c>
      <c r="D133" t="s">
        <v>353</v>
      </c>
      <c r="E133" t="s">
        <v>114</v>
      </c>
      <c r="F133" t="s">
        <v>84</v>
      </c>
      <c r="G133">
        <v>41729</v>
      </c>
      <c r="H133" t="s">
        <v>36</v>
      </c>
    </row>
    <row r="134" spans="1:8" x14ac:dyDescent="0.3">
      <c r="A134" t="s">
        <v>176</v>
      </c>
      <c r="B134">
        <v>481</v>
      </c>
      <c r="C134" t="s">
        <v>207</v>
      </c>
      <c r="D134" t="s">
        <v>333</v>
      </c>
      <c r="E134" t="s">
        <v>114</v>
      </c>
      <c r="F134" t="s">
        <v>84</v>
      </c>
      <c r="G134">
        <v>44911</v>
      </c>
      <c r="H134" t="s">
        <v>36</v>
      </c>
    </row>
    <row r="135" spans="1:8" x14ac:dyDescent="0.3">
      <c r="A135" t="s">
        <v>176</v>
      </c>
      <c r="B135">
        <v>484</v>
      </c>
      <c r="C135" t="s">
        <v>51</v>
      </c>
      <c r="D135" t="s">
        <v>333</v>
      </c>
      <c r="E135" t="s">
        <v>114</v>
      </c>
      <c r="F135" t="s">
        <v>84</v>
      </c>
      <c r="G135">
        <v>44164</v>
      </c>
      <c r="H135" t="s">
        <v>44</v>
      </c>
    </row>
    <row r="136" spans="1:8" x14ac:dyDescent="0.3">
      <c r="A136" t="s">
        <v>176</v>
      </c>
      <c r="B136">
        <v>487</v>
      </c>
      <c r="C136" t="s">
        <v>49</v>
      </c>
      <c r="D136" t="s">
        <v>334</v>
      </c>
      <c r="E136" t="s">
        <v>114</v>
      </c>
      <c r="F136" t="s">
        <v>84</v>
      </c>
      <c r="G136">
        <v>40654</v>
      </c>
      <c r="H136" t="s">
        <v>36</v>
      </c>
    </row>
    <row r="137" spans="1:8" x14ac:dyDescent="0.3">
      <c r="A137" t="s">
        <v>176</v>
      </c>
      <c r="B137">
        <v>488</v>
      </c>
      <c r="C137" t="s">
        <v>273</v>
      </c>
      <c r="D137" t="s">
        <v>334</v>
      </c>
      <c r="E137" t="s">
        <v>114</v>
      </c>
      <c r="F137" t="s">
        <v>84</v>
      </c>
      <c r="G137">
        <v>37587</v>
      </c>
      <c r="H137" t="s">
        <v>36</v>
      </c>
    </row>
    <row r="138" spans="1:8" x14ac:dyDescent="0.3">
      <c r="A138" t="s">
        <v>176</v>
      </c>
      <c r="B138">
        <v>489</v>
      </c>
      <c r="C138" t="s">
        <v>234</v>
      </c>
      <c r="D138" t="s">
        <v>53</v>
      </c>
      <c r="E138" t="s">
        <v>114</v>
      </c>
      <c r="F138" t="s">
        <v>84</v>
      </c>
      <c r="G138">
        <v>31973</v>
      </c>
      <c r="H138" t="s">
        <v>44</v>
      </c>
    </row>
    <row r="139" spans="1:8" x14ac:dyDescent="0.3">
      <c r="A139" t="s">
        <v>176</v>
      </c>
      <c r="B139">
        <v>496</v>
      </c>
      <c r="C139" t="s">
        <v>208</v>
      </c>
      <c r="D139" t="s">
        <v>358</v>
      </c>
      <c r="E139" t="s">
        <v>114</v>
      </c>
      <c r="F139" t="s">
        <v>84</v>
      </c>
      <c r="G139">
        <v>44491</v>
      </c>
      <c r="H139" t="s">
        <v>47</v>
      </c>
    </row>
    <row r="140" spans="1:8" x14ac:dyDescent="0.3">
      <c r="A140" t="s">
        <v>176</v>
      </c>
      <c r="B140">
        <v>497</v>
      </c>
      <c r="C140" t="s">
        <v>210</v>
      </c>
      <c r="D140" t="s">
        <v>53</v>
      </c>
      <c r="E140" t="s">
        <v>114</v>
      </c>
      <c r="F140" t="s">
        <v>84</v>
      </c>
      <c r="H140" t="s">
        <v>44</v>
      </c>
    </row>
    <row r="141" spans="1:8" x14ac:dyDescent="0.3">
      <c r="A141" t="s">
        <v>176</v>
      </c>
      <c r="B141">
        <v>499</v>
      </c>
      <c r="C141" t="s">
        <v>211</v>
      </c>
      <c r="D141" t="s">
        <v>55</v>
      </c>
      <c r="E141" t="s">
        <v>114</v>
      </c>
      <c r="F141" t="s">
        <v>84</v>
      </c>
      <c r="G141">
        <v>44841</v>
      </c>
      <c r="H141" t="s">
        <v>36</v>
      </c>
    </row>
    <row r="142" spans="1:8" x14ac:dyDescent="0.3">
      <c r="A142" t="s">
        <v>212</v>
      </c>
      <c r="B142">
        <v>617</v>
      </c>
      <c r="C142" t="s">
        <v>88</v>
      </c>
      <c r="D142" t="s">
        <v>414</v>
      </c>
      <c r="E142" t="s">
        <v>114</v>
      </c>
      <c r="F142" t="s">
        <v>84</v>
      </c>
      <c r="G142">
        <v>42864</v>
      </c>
      <c r="H142" t="s">
        <v>36</v>
      </c>
    </row>
    <row r="143" spans="1:8" x14ac:dyDescent="0.3">
      <c r="A143" t="s">
        <v>212</v>
      </c>
      <c r="B143">
        <v>619</v>
      </c>
      <c r="C143" t="s">
        <v>90</v>
      </c>
      <c r="D143" t="s">
        <v>53</v>
      </c>
      <c r="E143" t="s">
        <v>114</v>
      </c>
      <c r="F143" t="s">
        <v>84</v>
      </c>
      <c r="G143">
        <v>45247</v>
      </c>
      <c r="H143" t="s">
        <v>36</v>
      </c>
    </row>
    <row r="144" spans="1:8" x14ac:dyDescent="0.3">
      <c r="A144" t="s">
        <v>212</v>
      </c>
      <c r="B144">
        <v>620</v>
      </c>
      <c r="C144" t="s">
        <v>375</v>
      </c>
      <c r="D144" t="s">
        <v>353</v>
      </c>
      <c r="E144" t="s">
        <v>114</v>
      </c>
      <c r="F144" t="s">
        <v>84</v>
      </c>
      <c r="G144">
        <v>45645</v>
      </c>
      <c r="H144" t="s">
        <v>36</v>
      </c>
    </row>
    <row r="145" spans="1:8" x14ac:dyDescent="0.3">
      <c r="A145" t="s">
        <v>212</v>
      </c>
      <c r="B145">
        <v>621</v>
      </c>
      <c r="C145" t="s">
        <v>91</v>
      </c>
      <c r="D145" t="s">
        <v>53</v>
      </c>
      <c r="E145" t="s">
        <v>114</v>
      </c>
      <c r="F145" t="s">
        <v>84</v>
      </c>
      <c r="G145" t="s">
        <v>373</v>
      </c>
      <c r="H145" t="s">
        <v>39</v>
      </c>
    </row>
    <row r="146" spans="1:8" x14ac:dyDescent="0.3">
      <c r="A146" t="s">
        <v>212</v>
      </c>
      <c r="B146">
        <v>623</v>
      </c>
      <c r="C146" t="s">
        <v>93</v>
      </c>
      <c r="D146" t="s">
        <v>53</v>
      </c>
      <c r="E146" t="s">
        <v>114</v>
      </c>
      <c r="F146" t="s">
        <v>84</v>
      </c>
      <c r="G146">
        <v>37271</v>
      </c>
      <c r="H146" t="s">
        <v>44</v>
      </c>
    </row>
    <row r="147" spans="1:8" x14ac:dyDescent="0.3">
      <c r="A147" t="s">
        <v>212</v>
      </c>
      <c r="B147">
        <v>624</v>
      </c>
      <c r="C147" t="s">
        <v>37</v>
      </c>
      <c r="D147" t="s">
        <v>53</v>
      </c>
      <c r="E147" t="s">
        <v>114</v>
      </c>
      <c r="F147" t="s">
        <v>84</v>
      </c>
      <c r="G147">
        <v>6224</v>
      </c>
      <c r="H147" t="s">
        <v>36</v>
      </c>
    </row>
    <row r="148" spans="1:8" x14ac:dyDescent="0.3">
      <c r="A148" t="s">
        <v>212</v>
      </c>
      <c r="B148">
        <v>565</v>
      </c>
      <c r="C148" t="s">
        <v>367</v>
      </c>
      <c r="D148" t="s">
        <v>53</v>
      </c>
      <c r="E148" t="s">
        <v>114</v>
      </c>
      <c r="F148" t="s">
        <v>84</v>
      </c>
      <c r="G148" t="s">
        <v>368</v>
      </c>
      <c r="H148" t="s">
        <v>415</v>
      </c>
    </row>
    <row r="149" spans="1:8" x14ac:dyDescent="0.3">
      <c r="A149" t="s">
        <v>212</v>
      </c>
      <c r="B149">
        <v>626</v>
      </c>
      <c r="C149" t="s">
        <v>372</v>
      </c>
      <c r="D149" t="s">
        <v>331</v>
      </c>
      <c r="E149" t="s">
        <v>114</v>
      </c>
      <c r="F149" t="s">
        <v>84</v>
      </c>
      <c r="G149">
        <v>42194</v>
      </c>
      <c r="H149" t="s">
        <v>36</v>
      </c>
    </row>
    <row r="150" spans="1:8" x14ac:dyDescent="0.3">
      <c r="A150" t="s">
        <v>212</v>
      </c>
      <c r="B150">
        <v>627</v>
      </c>
      <c r="C150" t="s">
        <v>377</v>
      </c>
      <c r="D150" t="s">
        <v>332</v>
      </c>
      <c r="E150" t="s">
        <v>114</v>
      </c>
      <c r="F150" t="s">
        <v>84</v>
      </c>
      <c r="G150">
        <v>42716</v>
      </c>
      <c r="H150" t="s">
        <v>47</v>
      </c>
    </row>
    <row r="151" spans="1:8" x14ac:dyDescent="0.3">
      <c r="A151" t="s">
        <v>212</v>
      </c>
      <c r="B151">
        <v>631</v>
      </c>
      <c r="C151" t="s">
        <v>85</v>
      </c>
      <c r="D151" t="s">
        <v>53</v>
      </c>
      <c r="E151" t="s">
        <v>114</v>
      </c>
      <c r="F151" t="s">
        <v>84</v>
      </c>
      <c r="G151">
        <v>44874</v>
      </c>
      <c r="H151" t="s">
        <v>36</v>
      </c>
    </row>
    <row r="152" spans="1:8" x14ac:dyDescent="0.3">
      <c r="A152" t="s">
        <v>212</v>
      </c>
      <c r="B152">
        <v>632</v>
      </c>
      <c r="C152" t="s">
        <v>87</v>
      </c>
      <c r="D152" t="s">
        <v>53</v>
      </c>
      <c r="E152" t="s">
        <v>114</v>
      </c>
      <c r="F152" t="s">
        <v>84</v>
      </c>
      <c r="G152">
        <v>44872</v>
      </c>
      <c r="H152" t="s">
        <v>36</v>
      </c>
    </row>
    <row r="153" spans="1:8" x14ac:dyDescent="0.3">
      <c r="A153" t="s">
        <v>212</v>
      </c>
      <c r="B153">
        <v>633</v>
      </c>
      <c r="C153" t="s">
        <v>219</v>
      </c>
      <c r="D153" t="s">
        <v>53</v>
      </c>
      <c r="E153" t="s">
        <v>114</v>
      </c>
      <c r="F153" t="s">
        <v>84</v>
      </c>
      <c r="G153">
        <v>202500003186</v>
      </c>
      <c r="H153" t="s">
        <v>44</v>
      </c>
    </row>
    <row r="154" spans="1:8" x14ac:dyDescent="0.3">
      <c r="A154" t="s">
        <v>212</v>
      </c>
      <c r="B154">
        <v>635</v>
      </c>
      <c r="C154" t="s">
        <v>221</v>
      </c>
      <c r="D154" t="s">
        <v>53</v>
      </c>
      <c r="E154" t="s">
        <v>114</v>
      </c>
      <c r="F154" t="s">
        <v>84</v>
      </c>
      <c r="G154">
        <v>33342</v>
      </c>
      <c r="H154" t="s">
        <v>44</v>
      </c>
    </row>
    <row r="155" spans="1:8" x14ac:dyDescent="0.3">
      <c r="A155" t="s">
        <v>212</v>
      </c>
      <c r="B155">
        <v>636</v>
      </c>
      <c r="C155" t="s">
        <v>222</v>
      </c>
      <c r="D155" t="s">
        <v>332</v>
      </c>
      <c r="E155" t="s">
        <v>114</v>
      </c>
      <c r="F155" t="s">
        <v>84</v>
      </c>
      <c r="G155" s="67" t="s">
        <v>223</v>
      </c>
      <c r="H155" t="s">
        <v>44</v>
      </c>
    </row>
    <row r="156" spans="1:8" x14ac:dyDescent="0.3">
      <c r="A156" t="s">
        <v>212</v>
      </c>
      <c r="B156">
        <v>641</v>
      </c>
      <c r="C156" t="s">
        <v>226</v>
      </c>
      <c r="D156" t="s">
        <v>53</v>
      </c>
      <c r="E156" t="s">
        <v>114</v>
      </c>
      <c r="F156" t="s">
        <v>84</v>
      </c>
      <c r="G156">
        <v>37524</v>
      </c>
      <c r="H156" t="s">
        <v>36</v>
      </c>
    </row>
    <row r="157" spans="1:8" x14ac:dyDescent="0.3">
      <c r="A157" t="s">
        <v>212</v>
      </c>
      <c r="B157">
        <v>642</v>
      </c>
      <c r="C157" t="s">
        <v>374</v>
      </c>
      <c r="D157" t="s">
        <v>53</v>
      </c>
      <c r="E157" t="s">
        <v>114</v>
      </c>
      <c r="F157" t="s">
        <v>84</v>
      </c>
      <c r="G157">
        <v>46214</v>
      </c>
      <c r="H157" t="s">
        <v>36</v>
      </c>
    </row>
    <row r="158" spans="1:8" x14ac:dyDescent="0.3">
      <c r="A158" t="s">
        <v>212</v>
      </c>
      <c r="B158">
        <v>645</v>
      </c>
      <c r="C158" t="s">
        <v>369</v>
      </c>
      <c r="D158" t="s">
        <v>334</v>
      </c>
      <c r="E158" t="s">
        <v>114</v>
      </c>
      <c r="F158" t="s">
        <v>84</v>
      </c>
      <c r="H158" t="s">
        <v>36</v>
      </c>
    </row>
    <row r="159" spans="1:8" x14ac:dyDescent="0.3">
      <c r="A159" t="s">
        <v>212</v>
      </c>
      <c r="B159">
        <v>646</v>
      </c>
      <c r="C159" t="s">
        <v>97</v>
      </c>
      <c r="D159" t="s">
        <v>334</v>
      </c>
      <c r="E159" t="s">
        <v>114</v>
      </c>
      <c r="F159" t="s">
        <v>84</v>
      </c>
      <c r="G159">
        <v>37426</v>
      </c>
      <c r="H159" t="s">
        <v>36</v>
      </c>
    </row>
    <row r="160" spans="1:8" x14ac:dyDescent="0.3">
      <c r="A160" t="s">
        <v>212</v>
      </c>
      <c r="B160">
        <v>647</v>
      </c>
      <c r="C160" t="s">
        <v>98</v>
      </c>
      <c r="D160" t="s">
        <v>331</v>
      </c>
      <c r="E160" t="s">
        <v>114</v>
      </c>
      <c r="F160" t="s">
        <v>84</v>
      </c>
      <c r="G160">
        <v>42783</v>
      </c>
      <c r="H160" t="s">
        <v>44</v>
      </c>
    </row>
    <row r="161" spans="1:8" x14ac:dyDescent="0.3">
      <c r="A161" t="s">
        <v>212</v>
      </c>
      <c r="B161">
        <v>654</v>
      </c>
      <c r="C161" t="s">
        <v>376</v>
      </c>
      <c r="D161" t="s">
        <v>333</v>
      </c>
      <c r="E161" t="s">
        <v>114</v>
      </c>
      <c r="F161" t="s">
        <v>84</v>
      </c>
      <c r="G161">
        <v>45996</v>
      </c>
      <c r="H161" t="s">
        <v>44</v>
      </c>
    </row>
    <row r="162" spans="1:8" x14ac:dyDescent="0.3">
      <c r="A162" t="s">
        <v>212</v>
      </c>
      <c r="B162">
        <v>655</v>
      </c>
      <c r="C162" t="s">
        <v>100</v>
      </c>
      <c r="D162" t="s">
        <v>317</v>
      </c>
      <c r="E162" t="s">
        <v>114</v>
      </c>
      <c r="F162" t="s">
        <v>84</v>
      </c>
      <c r="G162">
        <v>44293</v>
      </c>
      <c r="H162" t="s">
        <v>47</v>
      </c>
    </row>
    <row r="163" spans="1:8" x14ac:dyDescent="0.3">
      <c r="A163" t="s">
        <v>212</v>
      </c>
      <c r="B163">
        <v>658</v>
      </c>
      <c r="C163" t="s">
        <v>101</v>
      </c>
      <c r="D163" t="s">
        <v>53</v>
      </c>
      <c r="E163" t="s">
        <v>114</v>
      </c>
      <c r="F163" t="s">
        <v>84</v>
      </c>
      <c r="G163">
        <v>37573</v>
      </c>
      <c r="H163" t="s">
        <v>36</v>
      </c>
    </row>
    <row r="164" spans="1:8" x14ac:dyDescent="0.3">
      <c r="A164" t="s">
        <v>212</v>
      </c>
      <c r="B164">
        <v>661</v>
      </c>
      <c r="C164" t="s">
        <v>43</v>
      </c>
      <c r="D164" t="s">
        <v>53</v>
      </c>
      <c r="E164" t="s">
        <v>114</v>
      </c>
      <c r="F164" t="s">
        <v>84</v>
      </c>
      <c r="G164">
        <v>45552</v>
      </c>
      <c r="H164" t="s">
        <v>36</v>
      </c>
    </row>
    <row r="165" spans="1:8" x14ac:dyDescent="0.3">
      <c r="A165" t="s">
        <v>212</v>
      </c>
      <c r="B165">
        <v>662</v>
      </c>
      <c r="C165" t="s">
        <v>95</v>
      </c>
      <c r="D165" t="s">
        <v>48</v>
      </c>
      <c r="E165" t="s">
        <v>114</v>
      </c>
      <c r="F165" t="s">
        <v>84</v>
      </c>
      <c r="G165">
        <v>44567</v>
      </c>
      <c r="H165" t="s">
        <v>44</v>
      </c>
    </row>
    <row r="166" spans="1:8" x14ac:dyDescent="0.3">
      <c r="A166" t="s">
        <v>212</v>
      </c>
      <c r="B166">
        <v>663</v>
      </c>
      <c r="C166" t="s">
        <v>230</v>
      </c>
      <c r="D166" t="s">
        <v>334</v>
      </c>
      <c r="E166" t="s">
        <v>114</v>
      </c>
      <c r="F166" t="s">
        <v>84</v>
      </c>
      <c r="G166" t="s">
        <v>231</v>
      </c>
      <c r="H166" t="s">
        <v>415</v>
      </c>
    </row>
    <row r="167" spans="1:8" x14ac:dyDescent="0.3">
      <c r="A167" t="s">
        <v>212</v>
      </c>
      <c r="B167">
        <v>664</v>
      </c>
      <c r="C167" t="s">
        <v>371</v>
      </c>
      <c r="D167" t="s">
        <v>53</v>
      </c>
      <c r="E167" t="s">
        <v>114</v>
      </c>
      <c r="F167" t="s">
        <v>84</v>
      </c>
      <c r="G167">
        <v>34339</v>
      </c>
      <c r="H167" t="s">
        <v>36</v>
      </c>
    </row>
    <row r="168" spans="1:8" x14ac:dyDescent="0.3">
      <c r="A168" t="s">
        <v>212</v>
      </c>
      <c r="B168">
        <v>672</v>
      </c>
      <c r="C168" t="s">
        <v>370</v>
      </c>
      <c r="D168" t="s">
        <v>53</v>
      </c>
      <c r="E168" t="s">
        <v>114</v>
      </c>
      <c r="F168" t="s">
        <v>84</v>
      </c>
      <c r="G168">
        <v>46064</v>
      </c>
      <c r="H168" t="s">
        <v>36</v>
      </c>
    </row>
    <row r="169" spans="1:8" x14ac:dyDescent="0.3">
      <c r="A169" t="s">
        <v>212</v>
      </c>
      <c r="B169">
        <v>674</v>
      </c>
      <c r="C169" t="s">
        <v>103</v>
      </c>
      <c r="D169" t="s">
        <v>317</v>
      </c>
      <c r="E169" t="s">
        <v>114</v>
      </c>
      <c r="F169" t="s">
        <v>84</v>
      </c>
      <c r="G169">
        <v>40843</v>
      </c>
      <c r="H169" t="s">
        <v>44</v>
      </c>
    </row>
    <row r="170" spans="1:8" x14ac:dyDescent="0.3">
      <c r="A170" t="s">
        <v>212</v>
      </c>
      <c r="B170">
        <v>678</v>
      </c>
      <c r="C170" t="s">
        <v>104</v>
      </c>
      <c r="D170" t="s">
        <v>317</v>
      </c>
      <c r="E170" t="s">
        <v>114</v>
      </c>
      <c r="F170" t="s">
        <v>84</v>
      </c>
      <c r="G170" t="s">
        <v>105</v>
      </c>
      <c r="H170" t="s">
        <v>44</v>
      </c>
    </row>
    <row r="171" spans="1:8" x14ac:dyDescent="0.3">
      <c r="A171" t="s">
        <v>212</v>
      </c>
      <c r="B171">
        <v>681</v>
      </c>
      <c r="C171" t="s">
        <v>42</v>
      </c>
      <c r="D171" t="s">
        <v>53</v>
      </c>
      <c r="E171" t="s">
        <v>114</v>
      </c>
      <c r="F171" t="s">
        <v>84</v>
      </c>
      <c r="H171" t="s">
        <v>44</v>
      </c>
    </row>
    <row r="172" spans="1:8" x14ac:dyDescent="0.3">
      <c r="A172" t="s">
        <v>212</v>
      </c>
      <c r="B172">
        <v>684</v>
      </c>
      <c r="C172" t="s">
        <v>108</v>
      </c>
      <c r="D172" t="s">
        <v>53</v>
      </c>
      <c r="E172" t="s">
        <v>114</v>
      </c>
      <c r="F172" t="s">
        <v>84</v>
      </c>
      <c r="G172">
        <v>45254</v>
      </c>
      <c r="H172" t="s">
        <v>36</v>
      </c>
    </row>
    <row r="173" spans="1:8" x14ac:dyDescent="0.3">
      <c r="A173" t="s">
        <v>212</v>
      </c>
      <c r="B173">
        <v>699</v>
      </c>
      <c r="C173" t="s">
        <v>224</v>
      </c>
      <c r="D173" t="s">
        <v>331</v>
      </c>
      <c r="E173" t="s">
        <v>114</v>
      </c>
      <c r="F173" t="s">
        <v>84</v>
      </c>
      <c r="G173">
        <v>33804</v>
      </c>
      <c r="H173" t="s">
        <v>44</v>
      </c>
    </row>
    <row r="174" spans="1:8" x14ac:dyDescent="0.3">
      <c r="A174" t="s">
        <v>235</v>
      </c>
      <c r="B174">
        <v>507</v>
      </c>
      <c r="C174" t="s">
        <v>236</v>
      </c>
      <c r="D174" t="s">
        <v>335</v>
      </c>
      <c r="E174" t="s">
        <v>114</v>
      </c>
      <c r="F174" t="s">
        <v>84</v>
      </c>
      <c r="G174" t="s">
        <v>378</v>
      </c>
      <c r="H174" t="s">
        <v>39</v>
      </c>
    </row>
    <row r="175" spans="1:8" x14ac:dyDescent="0.3">
      <c r="A175" t="s">
        <v>235</v>
      </c>
      <c r="B175">
        <v>511</v>
      </c>
      <c r="C175" t="s">
        <v>237</v>
      </c>
      <c r="D175" t="s">
        <v>330</v>
      </c>
      <c r="E175" t="s">
        <v>114</v>
      </c>
      <c r="F175" t="s">
        <v>84</v>
      </c>
      <c r="G175" t="s">
        <v>238</v>
      </c>
      <c r="H175" t="s">
        <v>415</v>
      </c>
    </row>
    <row r="176" spans="1:8" x14ac:dyDescent="0.3">
      <c r="A176" t="s">
        <v>235</v>
      </c>
      <c r="B176">
        <v>512</v>
      </c>
      <c r="C176" t="s">
        <v>248</v>
      </c>
      <c r="D176" t="s">
        <v>53</v>
      </c>
      <c r="E176" t="s">
        <v>114</v>
      </c>
      <c r="F176" t="s">
        <v>84</v>
      </c>
      <c r="G176">
        <v>35901</v>
      </c>
      <c r="H176" t="s">
        <v>36</v>
      </c>
    </row>
    <row r="177" spans="1:8" x14ac:dyDescent="0.3">
      <c r="A177" t="s">
        <v>235</v>
      </c>
      <c r="B177">
        <v>513</v>
      </c>
      <c r="C177" t="s">
        <v>214</v>
      </c>
      <c r="D177" t="s">
        <v>54</v>
      </c>
      <c r="E177" t="s">
        <v>114</v>
      </c>
      <c r="F177" t="s">
        <v>84</v>
      </c>
      <c r="G177">
        <v>36897</v>
      </c>
      <c r="H177" t="s">
        <v>44</v>
      </c>
    </row>
    <row r="178" spans="1:8" x14ac:dyDescent="0.3">
      <c r="A178" t="s">
        <v>235</v>
      </c>
      <c r="B178">
        <v>514</v>
      </c>
      <c r="C178" t="s">
        <v>240</v>
      </c>
      <c r="D178" t="s">
        <v>53</v>
      </c>
      <c r="E178" t="s">
        <v>114</v>
      </c>
      <c r="F178" t="s">
        <v>84</v>
      </c>
      <c r="G178">
        <v>20875</v>
      </c>
      <c r="H178" t="s">
        <v>36</v>
      </c>
    </row>
    <row r="179" spans="1:8" x14ac:dyDescent="0.3">
      <c r="A179" t="s">
        <v>235</v>
      </c>
      <c r="B179">
        <v>515</v>
      </c>
      <c r="C179" t="s">
        <v>241</v>
      </c>
      <c r="D179" t="s">
        <v>53</v>
      </c>
      <c r="E179" t="s">
        <v>114</v>
      </c>
      <c r="F179" t="s">
        <v>84</v>
      </c>
      <c r="G179">
        <v>42794</v>
      </c>
      <c r="H179" t="s">
        <v>36</v>
      </c>
    </row>
    <row r="180" spans="1:8" x14ac:dyDescent="0.3">
      <c r="A180" t="s">
        <v>235</v>
      </c>
      <c r="B180">
        <v>516</v>
      </c>
      <c r="C180" t="s">
        <v>242</v>
      </c>
      <c r="D180" t="s">
        <v>53</v>
      </c>
      <c r="E180" t="s">
        <v>114</v>
      </c>
      <c r="F180" t="s">
        <v>84</v>
      </c>
      <c r="G180">
        <v>33324</v>
      </c>
      <c r="H180" t="s">
        <v>44</v>
      </c>
    </row>
    <row r="181" spans="1:8" x14ac:dyDescent="0.3">
      <c r="A181" t="s">
        <v>235</v>
      </c>
      <c r="B181">
        <v>517</v>
      </c>
      <c r="C181" t="s">
        <v>243</v>
      </c>
      <c r="D181" t="s">
        <v>53</v>
      </c>
      <c r="E181" t="s">
        <v>114</v>
      </c>
      <c r="F181" t="s">
        <v>84</v>
      </c>
      <c r="G181">
        <v>1</v>
      </c>
      <c r="H181" t="s">
        <v>36</v>
      </c>
    </row>
    <row r="182" spans="1:8" x14ac:dyDescent="0.3">
      <c r="A182" t="s">
        <v>235</v>
      </c>
      <c r="B182">
        <v>518</v>
      </c>
      <c r="C182" t="s">
        <v>244</v>
      </c>
      <c r="D182" t="s">
        <v>54</v>
      </c>
      <c r="E182" t="s">
        <v>114</v>
      </c>
      <c r="F182" t="s">
        <v>84</v>
      </c>
      <c r="G182">
        <v>44154</v>
      </c>
      <c r="H182" t="s">
        <v>36</v>
      </c>
    </row>
    <row r="183" spans="1:8" x14ac:dyDescent="0.3">
      <c r="A183" t="s">
        <v>235</v>
      </c>
      <c r="B183">
        <v>519</v>
      </c>
      <c r="C183" t="s">
        <v>215</v>
      </c>
      <c r="D183" t="s">
        <v>54</v>
      </c>
      <c r="E183" t="s">
        <v>114</v>
      </c>
      <c r="F183" t="s">
        <v>84</v>
      </c>
      <c r="G183">
        <v>37064</v>
      </c>
      <c r="H183" t="s">
        <v>36</v>
      </c>
    </row>
    <row r="184" spans="1:8" x14ac:dyDescent="0.3">
      <c r="A184" t="s">
        <v>235</v>
      </c>
      <c r="B184">
        <v>520</v>
      </c>
      <c r="C184" t="s">
        <v>232</v>
      </c>
      <c r="D184" t="s">
        <v>53</v>
      </c>
      <c r="E184" t="s">
        <v>114</v>
      </c>
      <c r="F184" t="s">
        <v>84</v>
      </c>
      <c r="G184">
        <v>38140</v>
      </c>
      <c r="H184" t="s">
        <v>36</v>
      </c>
    </row>
    <row r="185" spans="1:8" x14ac:dyDescent="0.3">
      <c r="A185" t="s">
        <v>235</v>
      </c>
      <c r="B185">
        <v>521</v>
      </c>
      <c r="C185" t="s">
        <v>216</v>
      </c>
      <c r="D185" t="s">
        <v>53</v>
      </c>
      <c r="E185" t="s">
        <v>114</v>
      </c>
      <c r="F185" t="s">
        <v>84</v>
      </c>
      <c r="G185">
        <v>37256</v>
      </c>
      <c r="H185" t="s">
        <v>44</v>
      </c>
    </row>
    <row r="186" spans="1:8" x14ac:dyDescent="0.3">
      <c r="A186" t="s">
        <v>235</v>
      </c>
      <c r="B186">
        <v>523</v>
      </c>
      <c r="C186" t="s">
        <v>186</v>
      </c>
      <c r="D186" t="s">
        <v>246</v>
      </c>
      <c r="E186" t="s">
        <v>114</v>
      </c>
      <c r="F186" t="s">
        <v>84</v>
      </c>
      <c r="G186">
        <v>26744</v>
      </c>
      <c r="H186" t="s">
        <v>44</v>
      </c>
    </row>
    <row r="187" spans="1:8" x14ac:dyDescent="0.3">
      <c r="A187" t="s">
        <v>235</v>
      </c>
      <c r="B187">
        <v>525</v>
      </c>
      <c r="C187" t="s">
        <v>247</v>
      </c>
      <c r="D187" t="s">
        <v>53</v>
      </c>
      <c r="E187" t="s">
        <v>114</v>
      </c>
      <c r="F187" t="s">
        <v>84</v>
      </c>
      <c r="G187">
        <v>41219</v>
      </c>
      <c r="H187" t="s">
        <v>44</v>
      </c>
    </row>
    <row r="188" spans="1:8" x14ac:dyDescent="0.3">
      <c r="A188" t="s">
        <v>235</v>
      </c>
      <c r="B188">
        <v>526</v>
      </c>
      <c r="C188" t="s">
        <v>239</v>
      </c>
      <c r="D188" t="s">
        <v>334</v>
      </c>
      <c r="E188" t="s">
        <v>114</v>
      </c>
      <c r="F188" t="s">
        <v>84</v>
      </c>
      <c r="G188">
        <v>39478</v>
      </c>
      <c r="H188" t="s">
        <v>36</v>
      </c>
    </row>
    <row r="189" spans="1:8" x14ac:dyDescent="0.3">
      <c r="A189" t="s">
        <v>235</v>
      </c>
      <c r="B189">
        <v>527</v>
      </c>
      <c r="C189" t="s">
        <v>217</v>
      </c>
      <c r="D189" t="s">
        <v>331</v>
      </c>
      <c r="E189" t="s">
        <v>114</v>
      </c>
      <c r="F189" t="s">
        <v>84</v>
      </c>
      <c r="G189">
        <v>33828</v>
      </c>
      <c r="H189" t="s">
        <v>36</v>
      </c>
    </row>
    <row r="190" spans="1:8" x14ac:dyDescent="0.3">
      <c r="A190" t="s">
        <v>235</v>
      </c>
      <c r="B190">
        <v>528</v>
      </c>
      <c r="C190" t="s">
        <v>218</v>
      </c>
      <c r="D190" t="s">
        <v>53</v>
      </c>
      <c r="E190" t="s">
        <v>114</v>
      </c>
      <c r="F190" t="s">
        <v>84</v>
      </c>
      <c r="G190">
        <v>37595</v>
      </c>
      <c r="H190" t="s">
        <v>36</v>
      </c>
    </row>
    <row r="191" spans="1:8" x14ac:dyDescent="0.3">
      <c r="A191" t="s">
        <v>235</v>
      </c>
      <c r="B191">
        <v>529</v>
      </c>
      <c r="C191" t="s">
        <v>388</v>
      </c>
      <c r="D191" t="s">
        <v>54</v>
      </c>
      <c r="E191" t="s">
        <v>114</v>
      </c>
      <c r="F191" t="s">
        <v>84</v>
      </c>
      <c r="G191">
        <v>46574</v>
      </c>
      <c r="H191" t="s">
        <v>36</v>
      </c>
    </row>
    <row r="192" spans="1:8" x14ac:dyDescent="0.3">
      <c r="A192" t="s">
        <v>235</v>
      </c>
      <c r="B192">
        <v>530</v>
      </c>
      <c r="C192" t="s">
        <v>46</v>
      </c>
      <c r="D192" t="s">
        <v>330</v>
      </c>
      <c r="E192" t="s">
        <v>114</v>
      </c>
      <c r="F192" t="s">
        <v>84</v>
      </c>
      <c r="G192">
        <v>44299</v>
      </c>
      <c r="H192" t="s">
        <v>47</v>
      </c>
    </row>
    <row r="193" spans="1:8" x14ac:dyDescent="0.3">
      <c r="A193" t="s">
        <v>235</v>
      </c>
      <c r="B193">
        <v>531</v>
      </c>
      <c r="C193" t="s">
        <v>381</v>
      </c>
      <c r="D193" t="s">
        <v>334</v>
      </c>
      <c r="E193" t="s">
        <v>114</v>
      </c>
      <c r="F193" t="s">
        <v>84</v>
      </c>
      <c r="H193" t="s">
        <v>36</v>
      </c>
    </row>
    <row r="194" spans="1:8" x14ac:dyDescent="0.3">
      <c r="A194" t="s">
        <v>235</v>
      </c>
      <c r="B194">
        <v>533</v>
      </c>
      <c r="C194" t="s">
        <v>188</v>
      </c>
      <c r="D194" t="s">
        <v>53</v>
      </c>
      <c r="E194" t="s">
        <v>114</v>
      </c>
      <c r="F194" t="s">
        <v>84</v>
      </c>
      <c r="G194">
        <v>44265</v>
      </c>
      <c r="H194" t="s">
        <v>44</v>
      </c>
    </row>
    <row r="195" spans="1:8" x14ac:dyDescent="0.3">
      <c r="A195" t="s">
        <v>235</v>
      </c>
      <c r="B195">
        <v>534</v>
      </c>
      <c r="C195" t="s">
        <v>251</v>
      </c>
      <c r="D195" t="s">
        <v>335</v>
      </c>
      <c r="E195" t="s">
        <v>114</v>
      </c>
      <c r="F195" t="s">
        <v>84</v>
      </c>
      <c r="G195" t="s">
        <v>252</v>
      </c>
      <c r="H195" t="s">
        <v>39</v>
      </c>
    </row>
    <row r="196" spans="1:8" x14ac:dyDescent="0.3">
      <c r="A196" t="s">
        <v>235</v>
      </c>
      <c r="B196">
        <v>535</v>
      </c>
      <c r="C196" t="s">
        <v>221</v>
      </c>
      <c r="D196" t="s">
        <v>54</v>
      </c>
      <c r="E196" t="s">
        <v>114</v>
      </c>
      <c r="F196" t="s">
        <v>84</v>
      </c>
      <c r="G196">
        <v>33342</v>
      </c>
      <c r="H196" t="s">
        <v>44</v>
      </c>
    </row>
    <row r="197" spans="1:8" x14ac:dyDescent="0.3">
      <c r="A197" t="s">
        <v>235</v>
      </c>
      <c r="B197">
        <v>539</v>
      </c>
      <c r="C197" t="s">
        <v>225</v>
      </c>
      <c r="D197" t="s">
        <v>53</v>
      </c>
      <c r="E197" t="s">
        <v>114</v>
      </c>
      <c r="F197" t="s">
        <v>84</v>
      </c>
      <c r="H197" t="s">
        <v>44</v>
      </c>
    </row>
    <row r="198" spans="1:8" x14ac:dyDescent="0.3">
      <c r="A198" t="s">
        <v>235</v>
      </c>
      <c r="B198">
        <v>544</v>
      </c>
      <c r="C198" t="s">
        <v>191</v>
      </c>
      <c r="D198" t="s">
        <v>53</v>
      </c>
      <c r="E198" t="s">
        <v>114</v>
      </c>
      <c r="F198" t="s">
        <v>84</v>
      </c>
      <c r="G198">
        <v>42323</v>
      </c>
      <c r="H198" t="s">
        <v>36</v>
      </c>
    </row>
    <row r="199" spans="1:8" x14ac:dyDescent="0.3">
      <c r="A199" t="s">
        <v>235</v>
      </c>
      <c r="B199">
        <v>546</v>
      </c>
      <c r="C199" t="s">
        <v>227</v>
      </c>
      <c r="D199" t="s">
        <v>53</v>
      </c>
      <c r="E199" t="s">
        <v>114</v>
      </c>
      <c r="F199" t="s">
        <v>84</v>
      </c>
      <c r="G199">
        <v>3245</v>
      </c>
      <c r="H199" t="s">
        <v>44</v>
      </c>
    </row>
    <row r="200" spans="1:8" x14ac:dyDescent="0.3">
      <c r="A200" t="s">
        <v>235</v>
      </c>
      <c r="B200">
        <v>550</v>
      </c>
      <c r="C200" t="s">
        <v>99</v>
      </c>
      <c r="D200" t="s">
        <v>53</v>
      </c>
      <c r="E200" t="s">
        <v>114</v>
      </c>
      <c r="F200" t="s">
        <v>84</v>
      </c>
      <c r="G200">
        <v>39867</v>
      </c>
      <c r="H200" t="s">
        <v>47</v>
      </c>
    </row>
    <row r="201" spans="1:8" x14ac:dyDescent="0.3">
      <c r="A201" t="s">
        <v>235</v>
      </c>
      <c r="B201">
        <v>551</v>
      </c>
      <c r="C201" t="s">
        <v>389</v>
      </c>
      <c r="D201" t="s">
        <v>55</v>
      </c>
      <c r="E201" t="s">
        <v>114</v>
      </c>
      <c r="F201" t="s">
        <v>84</v>
      </c>
      <c r="G201">
        <v>39654</v>
      </c>
      <c r="H201" t="s">
        <v>36</v>
      </c>
    </row>
    <row r="202" spans="1:8" x14ac:dyDescent="0.3">
      <c r="A202" t="s">
        <v>235</v>
      </c>
      <c r="B202">
        <v>552</v>
      </c>
      <c r="C202" t="s">
        <v>390</v>
      </c>
      <c r="D202" t="s">
        <v>331</v>
      </c>
      <c r="E202" t="s">
        <v>114</v>
      </c>
      <c r="F202" t="s">
        <v>84</v>
      </c>
      <c r="G202">
        <v>45857</v>
      </c>
      <c r="H202" t="s">
        <v>47</v>
      </c>
    </row>
    <row r="203" spans="1:8" x14ac:dyDescent="0.3">
      <c r="A203" t="s">
        <v>235</v>
      </c>
      <c r="B203">
        <v>555</v>
      </c>
      <c r="C203" t="s">
        <v>256</v>
      </c>
      <c r="D203" t="s">
        <v>53</v>
      </c>
      <c r="E203" t="s">
        <v>114</v>
      </c>
      <c r="F203" t="s">
        <v>84</v>
      </c>
      <c r="G203">
        <v>31242</v>
      </c>
      <c r="H203" t="s">
        <v>44</v>
      </c>
    </row>
    <row r="204" spans="1:8" x14ac:dyDescent="0.3">
      <c r="A204" t="s">
        <v>235</v>
      </c>
      <c r="B204">
        <v>556</v>
      </c>
      <c r="C204" t="s">
        <v>213</v>
      </c>
      <c r="D204" t="s">
        <v>53</v>
      </c>
      <c r="E204" t="s">
        <v>114</v>
      </c>
      <c r="F204" t="s">
        <v>84</v>
      </c>
      <c r="G204">
        <v>34472</v>
      </c>
      <c r="H204" t="s">
        <v>36</v>
      </c>
    </row>
    <row r="205" spans="1:8" x14ac:dyDescent="0.3">
      <c r="A205" t="s">
        <v>235</v>
      </c>
      <c r="B205">
        <v>558</v>
      </c>
      <c r="C205" t="s">
        <v>379</v>
      </c>
      <c r="D205" t="s">
        <v>353</v>
      </c>
      <c r="E205" t="s">
        <v>114</v>
      </c>
      <c r="F205" t="s">
        <v>84</v>
      </c>
      <c r="G205">
        <v>44345</v>
      </c>
      <c r="H205" t="s">
        <v>36</v>
      </c>
    </row>
    <row r="206" spans="1:8" x14ac:dyDescent="0.3">
      <c r="A206" t="s">
        <v>235</v>
      </c>
      <c r="B206">
        <v>559</v>
      </c>
      <c r="C206" t="s">
        <v>258</v>
      </c>
      <c r="D206" t="s">
        <v>54</v>
      </c>
      <c r="E206" t="s">
        <v>114</v>
      </c>
      <c r="F206" t="s">
        <v>84</v>
      </c>
      <c r="G206">
        <v>2324</v>
      </c>
      <c r="H206" t="s">
        <v>39</v>
      </c>
    </row>
    <row r="207" spans="1:8" x14ac:dyDescent="0.3">
      <c r="A207" t="s">
        <v>235</v>
      </c>
      <c r="B207">
        <v>562</v>
      </c>
      <c r="C207" t="s">
        <v>260</v>
      </c>
      <c r="D207" t="s">
        <v>334</v>
      </c>
      <c r="E207" t="s">
        <v>114</v>
      </c>
      <c r="F207" t="s">
        <v>84</v>
      </c>
      <c r="G207">
        <v>32278</v>
      </c>
      <c r="H207" t="s">
        <v>36</v>
      </c>
    </row>
    <row r="208" spans="1:8" x14ac:dyDescent="0.3">
      <c r="A208" t="s">
        <v>235</v>
      </c>
      <c r="B208">
        <v>564</v>
      </c>
      <c r="C208" t="s">
        <v>382</v>
      </c>
      <c r="D208" t="s">
        <v>55</v>
      </c>
      <c r="E208" t="s">
        <v>114</v>
      </c>
      <c r="F208" t="s">
        <v>84</v>
      </c>
      <c r="G208" t="s">
        <v>383</v>
      </c>
      <c r="H208" t="s">
        <v>36</v>
      </c>
    </row>
    <row r="209" spans="1:8" x14ac:dyDescent="0.3">
      <c r="A209" t="s">
        <v>235</v>
      </c>
      <c r="B209">
        <v>566</v>
      </c>
      <c r="C209" t="s">
        <v>229</v>
      </c>
      <c r="D209" t="s">
        <v>53</v>
      </c>
      <c r="E209" t="s">
        <v>114</v>
      </c>
      <c r="F209" t="s">
        <v>84</v>
      </c>
      <c r="G209">
        <v>36795</v>
      </c>
      <c r="H209" t="s">
        <v>44</v>
      </c>
    </row>
    <row r="210" spans="1:8" x14ac:dyDescent="0.3">
      <c r="A210" t="s">
        <v>235</v>
      </c>
      <c r="B210">
        <v>569</v>
      </c>
      <c r="C210" t="s">
        <v>264</v>
      </c>
      <c r="D210" t="s">
        <v>332</v>
      </c>
      <c r="E210" t="s">
        <v>114</v>
      </c>
      <c r="F210" t="s">
        <v>84</v>
      </c>
      <c r="G210" t="s">
        <v>265</v>
      </c>
      <c r="H210" t="s">
        <v>39</v>
      </c>
    </row>
    <row r="211" spans="1:8" x14ac:dyDescent="0.3">
      <c r="A211" t="s">
        <v>235</v>
      </c>
      <c r="B211">
        <v>570</v>
      </c>
      <c r="C211" t="s">
        <v>266</v>
      </c>
      <c r="D211" t="s">
        <v>53</v>
      </c>
      <c r="E211" t="s">
        <v>114</v>
      </c>
      <c r="F211" t="s">
        <v>84</v>
      </c>
      <c r="G211">
        <v>33791</v>
      </c>
      <c r="H211" t="s">
        <v>44</v>
      </c>
    </row>
    <row r="212" spans="1:8" x14ac:dyDescent="0.3">
      <c r="A212" t="s">
        <v>235</v>
      </c>
      <c r="B212">
        <v>575</v>
      </c>
      <c r="C212" t="s">
        <v>228</v>
      </c>
      <c r="D212" t="s">
        <v>334</v>
      </c>
      <c r="E212" t="s">
        <v>114</v>
      </c>
      <c r="F212" t="s">
        <v>84</v>
      </c>
      <c r="G212">
        <v>32140</v>
      </c>
      <c r="H212" t="s">
        <v>36</v>
      </c>
    </row>
    <row r="213" spans="1:8" x14ac:dyDescent="0.3">
      <c r="A213" t="s">
        <v>235</v>
      </c>
      <c r="B213">
        <v>576</v>
      </c>
      <c r="C213" t="s">
        <v>386</v>
      </c>
      <c r="D213" t="s">
        <v>331</v>
      </c>
      <c r="E213" t="s">
        <v>114</v>
      </c>
      <c r="F213" t="s">
        <v>84</v>
      </c>
      <c r="G213" s="67" t="s">
        <v>387</v>
      </c>
      <c r="H213" t="s">
        <v>44</v>
      </c>
    </row>
    <row r="214" spans="1:8" x14ac:dyDescent="0.3">
      <c r="A214" t="s">
        <v>235</v>
      </c>
      <c r="B214">
        <v>577</v>
      </c>
      <c r="C214" t="s">
        <v>385</v>
      </c>
      <c r="D214" t="s">
        <v>332</v>
      </c>
      <c r="E214" t="s">
        <v>114</v>
      </c>
      <c r="F214" t="s">
        <v>84</v>
      </c>
      <c r="G214">
        <v>46318</v>
      </c>
      <c r="H214" t="s">
        <v>47</v>
      </c>
    </row>
    <row r="215" spans="1:8" x14ac:dyDescent="0.3">
      <c r="A215" t="s">
        <v>235</v>
      </c>
      <c r="B215">
        <v>581</v>
      </c>
      <c r="C215" t="s">
        <v>271</v>
      </c>
      <c r="D215" t="s">
        <v>332</v>
      </c>
      <c r="E215" t="s">
        <v>114</v>
      </c>
      <c r="F215" t="s">
        <v>84</v>
      </c>
      <c r="G215">
        <v>437</v>
      </c>
      <c r="H215" t="s">
        <v>415</v>
      </c>
    </row>
    <row r="216" spans="1:8" x14ac:dyDescent="0.3">
      <c r="A216" t="s">
        <v>235</v>
      </c>
      <c r="B216">
        <v>585</v>
      </c>
      <c r="C216" t="s">
        <v>380</v>
      </c>
      <c r="D216" t="s">
        <v>353</v>
      </c>
      <c r="E216" t="s">
        <v>114</v>
      </c>
      <c r="F216" t="s">
        <v>84</v>
      </c>
      <c r="G216">
        <v>45850</v>
      </c>
      <c r="H216" t="s">
        <v>47</v>
      </c>
    </row>
    <row r="217" spans="1:8" x14ac:dyDescent="0.3">
      <c r="A217" t="s">
        <v>235</v>
      </c>
      <c r="B217">
        <v>588</v>
      </c>
      <c r="C217" t="s">
        <v>233</v>
      </c>
      <c r="D217" t="s">
        <v>53</v>
      </c>
      <c r="E217" t="s">
        <v>114</v>
      </c>
      <c r="F217" t="s">
        <v>84</v>
      </c>
      <c r="G217">
        <v>38544</v>
      </c>
      <c r="H217" t="s">
        <v>36</v>
      </c>
    </row>
    <row r="218" spans="1:8" x14ac:dyDescent="0.3">
      <c r="A218" t="s">
        <v>235</v>
      </c>
      <c r="B218">
        <v>589</v>
      </c>
      <c r="C218" t="s">
        <v>234</v>
      </c>
      <c r="D218" t="s">
        <v>53</v>
      </c>
      <c r="E218" t="s">
        <v>114</v>
      </c>
      <c r="F218" t="s">
        <v>84</v>
      </c>
      <c r="G218">
        <v>31973</v>
      </c>
      <c r="H218" t="s">
        <v>44</v>
      </c>
    </row>
    <row r="219" spans="1:8" x14ac:dyDescent="0.3">
      <c r="A219" t="s">
        <v>235</v>
      </c>
      <c r="B219">
        <v>591</v>
      </c>
      <c r="C219" t="s">
        <v>274</v>
      </c>
      <c r="D219" t="s">
        <v>54</v>
      </c>
      <c r="E219" t="s">
        <v>114</v>
      </c>
      <c r="F219" t="s">
        <v>84</v>
      </c>
      <c r="G219" t="s">
        <v>275</v>
      </c>
      <c r="H219" t="s">
        <v>415</v>
      </c>
    </row>
    <row r="220" spans="1:8" x14ac:dyDescent="0.3">
      <c r="A220" t="s">
        <v>235</v>
      </c>
      <c r="B220">
        <v>592</v>
      </c>
      <c r="C220" t="s">
        <v>276</v>
      </c>
      <c r="D220" t="s">
        <v>54</v>
      </c>
      <c r="E220" t="s">
        <v>114</v>
      </c>
      <c r="F220" t="s">
        <v>84</v>
      </c>
      <c r="G220" t="s">
        <v>277</v>
      </c>
      <c r="H220" t="s">
        <v>415</v>
      </c>
    </row>
    <row r="221" spans="1:8" x14ac:dyDescent="0.3">
      <c r="A221" t="s">
        <v>235</v>
      </c>
      <c r="B221">
        <v>595</v>
      </c>
      <c r="C221" t="s">
        <v>220</v>
      </c>
      <c r="D221" t="s">
        <v>330</v>
      </c>
      <c r="E221" t="s">
        <v>114</v>
      </c>
      <c r="F221" t="s">
        <v>84</v>
      </c>
      <c r="G221">
        <v>39943</v>
      </c>
      <c r="H221" t="s">
        <v>47</v>
      </c>
    </row>
    <row r="222" spans="1:8" x14ac:dyDescent="0.3">
      <c r="A222" t="s">
        <v>235</v>
      </c>
      <c r="B222">
        <v>597</v>
      </c>
      <c r="C222" t="s">
        <v>384</v>
      </c>
      <c r="D222" t="s">
        <v>53</v>
      </c>
      <c r="E222" t="s">
        <v>114</v>
      </c>
      <c r="F222" t="s">
        <v>84</v>
      </c>
      <c r="H222" t="s">
        <v>44</v>
      </c>
    </row>
    <row r="223" spans="1:8" x14ac:dyDescent="0.3">
      <c r="A223" t="s">
        <v>235</v>
      </c>
      <c r="B223">
        <v>598</v>
      </c>
      <c r="C223" t="s">
        <v>278</v>
      </c>
      <c r="D223" t="s">
        <v>54</v>
      </c>
      <c r="E223" t="s">
        <v>114</v>
      </c>
      <c r="F223" t="s">
        <v>84</v>
      </c>
      <c r="G223">
        <v>44327</v>
      </c>
      <c r="H223" t="s">
        <v>36</v>
      </c>
    </row>
    <row r="224" spans="1:8" x14ac:dyDescent="0.3">
      <c r="A224" t="s">
        <v>235</v>
      </c>
      <c r="B224">
        <v>599</v>
      </c>
      <c r="C224" t="s">
        <v>93</v>
      </c>
      <c r="D224" t="s">
        <v>317</v>
      </c>
      <c r="E224" t="s">
        <v>114</v>
      </c>
      <c r="F224" t="s">
        <v>84</v>
      </c>
      <c r="G224">
        <v>37271</v>
      </c>
      <c r="H224" t="s">
        <v>44</v>
      </c>
    </row>
    <row r="225" spans="1:8" x14ac:dyDescent="0.3">
      <c r="A225" t="s">
        <v>279</v>
      </c>
      <c r="B225">
        <v>211</v>
      </c>
      <c r="C225" t="s">
        <v>289</v>
      </c>
      <c r="D225" t="s">
        <v>55</v>
      </c>
      <c r="E225" t="s">
        <v>114</v>
      </c>
      <c r="F225" t="s">
        <v>84</v>
      </c>
      <c r="G225">
        <v>37585</v>
      </c>
      <c r="H225" t="s">
        <v>36</v>
      </c>
    </row>
    <row r="226" spans="1:8" x14ac:dyDescent="0.3">
      <c r="A226" t="s">
        <v>279</v>
      </c>
      <c r="B226">
        <v>212</v>
      </c>
      <c r="C226" t="s">
        <v>118</v>
      </c>
      <c r="D226" t="s">
        <v>54</v>
      </c>
      <c r="E226" t="s">
        <v>114</v>
      </c>
      <c r="F226" t="s">
        <v>84</v>
      </c>
      <c r="G226">
        <v>44789</v>
      </c>
      <c r="H226" t="s">
        <v>47</v>
      </c>
    </row>
    <row r="227" spans="1:8" x14ac:dyDescent="0.3">
      <c r="A227" t="s">
        <v>279</v>
      </c>
      <c r="B227">
        <v>216</v>
      </c>
      <c r="C227" t="s">
        <v>280</v>
      </c>
      <c r="D227" t="s">
        <v>332</v>
      </c>
      <c r="E227" t="s">
        <v>114</v>
      </c>
      <c r="F227" t="s">
        <v>84</v>
      </c>
      <c r="G227">
        <v>37542</v>
      </c>
      <c r="H227" t="s">
        <v>36</v>
      </c>
    </row>
    <row r="228" spans="1:8" x14ac:dyDescent="0.3">
      <c r="A228" t="s">
        <v>279</v>
      </c>
      <c r="B228">
        <v>217</v>
      </c>
      <c r="C228" t="s">
        <v>314</v>
      </c>
      <c r="D228" t="s">
        <v>335</v>
      </c>
      <c r="E228" t="s">
        <v>114</v>
      </c>
      <c r="F228" t="s">
        <v>84</v>
      </c>
      <c r="G228">
        <v>34735</v>
      </c>
      <c r="H228" t="s">
        <v>36</v>
      </c>
    </row>
    <row r="229" spans="1:8" x14ac:dyDescent="0.3">
      <c r="A229" t="s">
        <v>279</v>
      </c>
      <c r="B229">
        <v>218</v>
      </c>
      <c r="C229" t="s">
        <v>282</v>
      </c>
      <c r="D229" t="s">
        <v>332</v>
      </c>
      <c r="E229" t="s">
        <v>114</v>
      </c>
      <c r="F229" t="s">
        <v>84</v>
      </c>
      <c r="G229">
        <v>17464</v>
      </c>
      <c r="H229" t="s">
        <v>47</v>
      </c>
    </row>
    <row r="230" spans="1:8" x14ac:dyDescent="0.3">
      <c r="A230" t="s">
        <v>279</v>
      </c>
      <c r="B230">
        <v>220</v>
      </c>
      <c r="C230" t="s">
        <v>283</v>
      </c>
      <c r="D230" t="s">
        <v>332</v>
      </c>
      <c r="E230" t="s">
        <v>114</v>
      </c>
      <c r="F230" t="s">
        <v>84</v>
      </c>
      <c r="G230">
        <v>5202</v>
      </c>
      <c r="H230" t="s">
        <v>44</v>
      </c>
    </row>
    <row r="231" spans="1:8" x14ac:dyDescent="0.3">
      <c r="A231" t="s">
        <v>279</v>
      </c>
      <c r="B231">
        <v>221</v>
      </c>
      <c r="C231" t="s">
        <v>284</v>
      </c>
      <c r="D231" t="s">
        <v>347</v>
      </c>
      <c r="E231" t="s">
        <v>114</v>
      </c>
      <c r="F231" t="s">
        <v>84</v>
      </c>
      <c r="G231">
        <v>1571</v>
      </c>
      <c r="H231" t="s">
        <v>47</v>
      </c>
    </row>
    <row r="232" spans="1:8" x14ac:dyDescent="0.3">
      <c r="A232" t="s">
        <v>279</v>
      </c>
      <c r="B232">
        <v>222</v>
      </c>
      <c r="C232" t="s">
        <v>285</v>
      </c>
      <c r="D232" t="s">
        <v>48</v>
      </c>
      <c r="E232" t="s">
        <v>114</v>
      </c>
      <c r="F232" t="s">
        <v>84</v>
      </c>
      <c r="G232">
        <v>35630</v>
      </c>
      <c r="H232" t="s">
        <v>36</v>
      </c>
    </row>
    <row r="233" spans="1:8" x14ac:dyDescent="0.3">
      <c r="A233" t="s">
        <v>279</v>
      </c>
      <c r="B233">
        <v>225</v>
      </c>
      <c r="C233" t="s">
        <v>286</v>
      </c>
      <c r="D233" t="s">
        <v>347</v>
      </c>
      <c r="E233" t="s">
        <v>114</v>
      </c>
      <c r="F233" t="s">
        <v>84</v>
      </c>
      <c r="G233">
        <v>35854</v>
      </c>
      <c r="H233" t="s">
        <v>36</v>
      </c>
    </row>
    <row r="234" spans="1:8" x14ac:dyDescent="0.3">
      <c r="A234" t="s">
        <v>279</v>
      </c>
      <c r="B234">
        <v>226</v>
      </c>
      <c r="C234" t="s">
        <v>287</v>
      </c>
      <c r="D234" t="s">
        <v>353</v>
      </c>
      <c r="E234" t="s">
        <v>114</v>
      </c>
      <c r="F234" t="s">
        <v>84</v>
      </c>
      <c r="G234">
        <v>37734</v>
      </c>
      <c r="H234" t="s">
        <v>36</v>
      </c>
    </row>
    <row r="235" spans="1:8" x14ac:dyDescent="0.3">
      <c r="A235" t="s">
        <v>279</v>
      </c>
      <c r="B235">
        <v>227</v>
      </c>
      <c r="C235" t="s">
        <v>123</v>
      </c>
      <c r="D235" t="s">
        <v>347</v>
      </c>
      <c r="E235" t="s">
        <v>114</v>
      </c>
      <c r="F235" t="s">
        <v>84</v>
      </c>
      <c r="G235">
        <v>3274</v>
      </c>
      <c r="H235" t="s">
        <v>44</v>
      </c>
    </row>
    <row r="236" spans="1:8" x14ac:dyDescent="0.3">
      <c r="A236" t="s">
        <v>279</v>
      </c>
      <c r="B236">
        <v>228</v>
      </c>
      <c r="C236" t="s">
        <v>288</v>
      </c>
      <c r="D236" t="s">
        <v>358</v>
      </c>
      <c r="E236" t="s">
        <v>114</v>
      </c>
      <c r="F236" t="s">
        <v>84</v>
      </c>
      <c r="G236">
        <v>39574</v>
      </c>
      <c r="H236" t="s">
        <v>36</v>
      </c>
    </row>
    <row r="237" spans="1:8" x14ac:dyDescent="0.3">
      <c r="A237" t="s">
        <v>279</v>
      </c>
      <c r="B237">
        <v>234</v>
      </c>
      <c r="C237" t="s">
        <v>290</v>
      </c>
      <c r="D237" t="s">
        <v>348</v>
      </c>
      <c r="E237" t="s">
        <v>114</v>
      </c>
      <c r="F237" t="s">
        <v>84</v>
      </c>
      <c r="G237">
        <v>624</v>
      </c>
      <c r="H237" t="s">
        <v>415</v>
      </c>
    </row>
    <row r="238" spans="1:8" x14ac:dyDescent="0.3">
      <c r="A238" t="s">
        <v>279</v>
      </c>
      <c r="B238">
        <v>237</v>
      </c>
      <c r="C238" t="s">
        <v>411</v>
      </c>
      <c r="D238" t="s">
        <v>332</v>
      </c>
      <c r="E238" t="s">
        <v>114</v>
      </c>
      <c r="F238" t="s">
        <v>84</v>
      </c>
      <c r="G238">
        <v>45097</v>
      </c>
      <c r="H238" t="s">
        <v>44</v>
      </c>
    </row>
    <row r="239" spans="1:8" x14ac:dyDescent="0.3">
      <c r="A239" t="s">
        <v>279</v>
      </c>
      <c r="B239">
        <v>242</v>
      </c>
      <c r="C239" t="s">
        <v>130</v>
      </c>
      <c r="D239" t="s">
        <v>333</v>
      </c>
      <c r="E239" t="s">
        <v>114</v>
      </c>
      <c r="F239" t="s">
        <v>84</v>
      </c>
      <c r="G239" s="67" t="s">
        <v>131</v>
      </c>
      <c r="H239" t="s">
        <v>44</v>
      </c>
    </row>
    <row r="240" spans="1:8" x14ac:dyDescent="0.3">
      <c r="A240" t="s">
        <v>279</v>
      </c>
      <c r="B240">
        <v>244</v>
      </c>
      <c r="C240" t="s">
        <v>393</v>
      </c>
      <c r="D240" t="s">
        <v>331</v>
      </c>
      <c r="E240" t="s">
        <v>114</v>
      </c>
      <c r="F240" t="s">
        <v>84</v>
      </c>
      <c r="G240">
        <v>45690</v>
      </c>
      <c r="H240" t="s">
        <v>47</v>
      </c>
    </row>
    <row r="241" spans="1:8" x14ac:dyDescent="0.3">
      <c r="A241" t="s">
        <v>279</v>
      </c>
      <c r="B241">
        <v>246</v>
      </c>
      <c r="C241" t="s">
        <v>291</v>
      </c>
      <c r="D241" t="s">
        <v>333</v>
      </c>
      <c r="E241" t="s">
        <v>114</v>
      </c>
      <c r="F241" t="s">
        <v>84</v>
      </c>
      <c r="G241">
        <v>42852</v>
      </c>
      <c r="H241" t="s">
        <v>44</v>
      </c>
    </row>
    <row r="242" spans="1:8" x14ac:dyDescent="0.3">
      <c r="A242" t="s">
        <v>279</v>
      </c>
      <c r="B242">
        <v>247</v>
      </c>
      <c r="C242" t="s">
        <v>292</v>
      </c>
      <c r="D242" t="s">
        <v>347</v>
      </c>
      <c r="E242" t="s">
        <v>114</v>
      </c>
      <c r="F242" t="s">
        <v>84</v>
      </c>
      <c r="G242">
        <v>33868</v>
      </c>
      <c r="H242" t="s">
        <v>36</v>
      </c>
    </row>
    <row r="243" spans="1:8" x14ac:dyDescent="0.3">
      <c r="A243" t="s">
        <v>279</v>
      </c>
      <c r="B243">
        <v>248</v>
      </c>
      <c r="C243" t="s">
        <v>133</v>
      </c>
      <c r="D243" t="s">
        <v>53</v>
      </c>
      <c r="E243" t="s">
        <v>114</v>
      </c>
      <c r="F243" t="s">
        <v>84</v>
      </c>
      <c r="G243">
        <v>21372</v>
      </c>
      <c r="H243" t="s">
        <v>44</v>
      </c>
    </row>
    <row r="244" spans="1:8" x14ac:dyDescent="0.3">
      <c r="A244" t="s">
        <v>279</v>
      </c>
      <c r="B244">
        <v>250</v>
      </c>
      <c r="C244" t="s">
        <v>293</v>
      </c>
      <c r="D244" t="s">
        <v>54</v>
      </c>
      <c r="E244" t="s">
        <v>114</v>
      </c>
      <c r="F244" t="s">
        <v>84</v>
      </c>
      <c r="G244">
        <v>42960</v>
      </c>
      <c r="H244" t="s">
        <v>47</v>
      </c>
    </row>
    <row r="245" spans="1:8" x14ac:dyDescent="0.3">
      <c r="A245" t="s">
        <v>279</v>
      </c>
      <c r="B245">
        <v>251</v>
      </c>
      <c r="C245" t="s">
        <v>392</v>
      </c>
      <c r="D245" t="s">
        <v>53</v>
      </c>
      <c r="E245" t="s">
        <v>114</v>
      </c>
      <c r="F245" t="s">
        <v>84</v>
      </c>
      <c r="G245">
        <v>45452</v>
      </c>
      <c r="H245" t="s">
        <v>44</v>
      </c>
    </row>
    <row r="246" spans="1:8" x14ac:dyDescent="0.3">
      <c r="A246" t="s">
        <v>279</v>
      </c>
      <c r="B246">
        <v>254</v>
      </c>
      <c r="C246" t="s">
        <v>138</v>
      </c>
      <c r="D246" t="s">
        <v>331</v>
      </c>
      <c r="E246" t="s">
        <v>114</v>
      </c>
      <c r="F246" t="s">
        <v>84</v>
      </c>
      <c r="G246">
        <v>35553</v>
      </c>
      <c r="H246" t="s">
        <v>36</v>
      </c>
    </row>
    <row r="247" spans="1:8" x14ac:dyDescent="0.3">
      <c r="A247" t="s">
        <v>279</v>
      </c>
      <c r="B247">
        <v>256</v>
      </c>
      <c r="C247" t="s">
        <v>125</v>
      </c>
      <c r="D247" t="s">
        <v>331</v>
      </c>
      <c r="E247" t="s">
        <v>114</v>
      </c>
      <c r="F247" t="s">
        <v>84</v>
      </c>
      <c r="G247">
        <v>391418</v>
      </c>
      <c r="H247" t="s">
        <v>36</v>
      </c>
    </row>
    <row r="248" spans="1:8" x14ac:dyDescent="0.3">
      <c r="A248" t="s">
        <v>279</v>
      </c>
      <c r="B248">
        <v>259</v>
      </c>
      <c r="C248" t="s">
        <v>409</v>
      </c>
      <c r="D248" t="s">
        <v>53</v>
      </c>
      <c r="E248" t="s">
        <v>114</v>
      </c>
      <c r="F248" t="s">
        <v>84</v>
      </c>
      <c r="G248">
        <v>46317</v>
      </c>
      <c r="H248" t="s">
        <v>47</v>
      </c>
    </row>
    <row r="249" spans="1:8" x14ac:dyDescent="0.3">
      <c r="A249" t="s">
        <v>279</v>
      </c>
      <c r="B249">
        <v>260</v>
      </c>
      <c r="C249" t="s">
        <v>398</v>
      </c>
      <c r="D249" t="s">
        <v>53</v>
      </c>
      <c r="E249" t="s">
        <v>114</v>
      </c>
      <c r="F249" t="s">
        <v>84</v>
      </c>
      <c r="G249">
        <v>46321</v>
      </c>
      <c r="H249" t="s">
        <v>47</v>
      </c>
    </row>
    <row r="250" spans="1:8" x14ac:dyDescent="0.3">
      <c r="A250" t="s">
        <v>279</v>
      </c>
      <c r="B250">
        <v>261</v>
      </c>
      <c r="C250" t="s">
        <v>294</v>
      </c>
      <c r="D250" t="s">
        <v>330</v>
      </c>
      <c r="E250" t="s">
        <v>114</v>
      </c>
      <c r="F250" t="s">
        <v>84</v>
      </c>
      <c r="G250">
        <v>40923</v>
      </c>
      <c r="H250" t="s">
        <v>47</v>
      </c>
    </row>
    <row r="251" spans="1:8" x14ac:dyDescent="0.3">
      <c r="A251" t="s">
        <v>279</v>
      </c>
      <c r="B251">
        <v>262</v>
      </c>
      <c r="C251" t="s">
        <v>295</v>
      </c>
      <c r="D251" t="s">
        <v>332</v>
      </c>
      <c r="E251" t="s">
        <v>114</v>
      </c>
      <c r="F251" t="s">
        <v>84</v>
      </c>
      <c r="G251">
        <v>43728</v>
      </c>
      <c r="H251" t="s">
        <v>47</v>
      </c>
    </row>
    <row r="252" spans="1:8" x14ac:dyDescent="0.3">
      <c r="A252" t="s">
        <v>279</v>
      </c>
      <c r="B252">
        <v>263</v>
      </c>
      <c r="C252" t="s">
        <v>416</v>
      </c>
      <c r="D252" t="s">
        <v>330</v>
      </c>
      <c r="E252" t="s">
        <v>114</v>
      </c>
      <c r="F252" t="s">
        <v>84</v>
      </c>
      <c r="G252">
        <v>46455</v>
      </c>
      <c r="H252" t="s">
        <v>47</v>
      </c>
    </row>
    <row r="253" spans="1:8" x14ac:dyDescent="0.3">
      <c r="A253" t="s">
        <v>279</v>
      </c>
      <c r="B253">
        <v>266</v>
      </c>
      <c r="C253" t="s">
        <v>296</v>
      </c>
      <c r="D253" t="s">
        <v>53</v>
      </c>
      <c r="E253" t="s">
        <v>114</v>
      </c>
      <c r="F253" t="s">
        <v>84</v>
      </c>
      <c r="G253">
        <v>43793</v>
      </c>
      <c r="H253" t="s">
        <v>36</v>
      </c>
    </row>
    <row r="254" spans="1:8" x14ac:dyDescent="0.3">
      <c r="A254" t="s">
        <v>279</v>
      </c>
      <c r="B254">
        <v>267</v>
      </c>
      <c r="C254" t="s">
        <v>297</v>
      </c>
      <c r="D254" t="s">
        <v>347</v>
      </c>
      <c r="E254" t="s">
        <v>114</v>
      </c>
      <c r="F254" t="s">
        <v>84</v>
      </c>
      <c r="G254">
        <v>37552</v>
      </c>
      <c r="H254" t="s">
        <v>44</v>
      </c>
    </row>
    <row r="255" spans="1:8" x14ac:dyDescent="0.3">
      <c r="A255" t="s">
        <v>279</v>
      </c>
      <c r="B255">
        <v>271</v>
      </c>
      <c r="C255" t="s">
        <v>298</v>
      </c>
      <c r="D255" t="s">
        <v>347</v>
      </c>
      <c r="E255" t="s">
        <v>114</v>
      </c>
      <c r="F255" t="s">
        <v>84</v>
      </c>
      <c r="G255">
        <v>7041</v>
      </c>
      <c r="H255" t="s">
        <v>47</v>
      </c>
    </row>
    <row r="256" spans="1:8" x14ac:dyDescent="0.3">
      <c r="A256" t="s">
        <v>279</v>
      </c>
      <c r="B256">
        <v>273</v>
      </c>
      <c r="C256" t="s">
        <v>119</v>
      </c>
      <c r="D256" t="s">
        <v>332</v>
      </c>
      <c r="E256" t="s">
        <v>114</v>
      </c>
      <c r="F256" t="s">
        <v>84</v>
      </c>
      <c r="G256">
        <v>27200</v>
      </c>
      <c r="H256" t="s">
        <v>36</v>
      </c>
    </row>
    <row r="257" spans="1:8" x14ac:dyDescent="0.3">
      <c r="A257" t="s">
        <v>279</v>
      </c>
      <c r="B257">
        <v>275</v>
      </c>
      <c r="C257" t="s">
        <v>299</v>
      </c>
      <c r="D257" t="s">
        <v>331</v>
      </c>
      <c r="E257" t="s">
        <v>114</v>
      </c>
      <c r="F257" t="s">
        <v>84</v>
      </c>
      <c r="G257">
        <v>42300</v>
      </c>
      <c r="H257" t="s">
        <v>44</v>
      </c>
    </row>
    <row r="258" spans="1:8" x14ac:dyDescent="0.3">
      <c r="A258" t="s">
        <v>279</v>
      </c>
      <c r="B258">
        <v>276</v>
      </c>
      <c r="C258" t="s">
        <v>300</v>
      </c>
      <c r="D258" t="s">
        <v>53</v>
      </c>
      <c r="E258" t="s">
        <v>114</v>
      </c>
      <c r="F258" t="s">
        <v>84</v>
      </c>
      <c r="G258">
        <v>21518</v>
      </c>
      <c r="H258" t="s">
        <v>44</v>
      </c>
    </row>
    <row r="259" spans="1:8" x14ac:dyDescent="0.3">
      <c r="A259" t="s">
        <v>279</v>
      </c>
      <c r="B259">
        <v>277</v>
      </c>
      <c r="C259" t="s">
        <v>413</v>
      </c>
      <c r="D259" t="s">
        <v>353</v>
      </c>
      <c r="E259" t="s">
        <v>114</v>
      </c>
      <c r="F259" t="s">
        <v>84</v>
      </c>
      <c r="G259">
        <v>46734</v>
      </c>
      <c r="H259" t="s">
        <v>36</v>
      </c>
    </row>
    <row r="260" spans="1:8" x14ac:dyDescent="0.3">
      <c r="A260" t="s">
        <v>279</v>
      </c>
      <c r="B260">
        <v>278</v>
      </c>
      <c r="C260" t="s">
        <v>301</v>
      </c>
      <c r="D260" t="s">
        <v>335</v>
      </c>
      <c r="E260" t="s">
        <v>114</v>
      </c>
      <c r="F260" t="s">
        <v>84</v>
      </c>
      <c r="G260" s="67" t="s">
        <v>302</v>
      </c>
      <c r="H260" t="s">
        <v>47</v>
      </c>
    </row>
    <row r="261" spans="1:8" x14ac:dyDescent="0.3">
      <c r="A261" t="s">
        <v>279</v>
      </c>
      <c r="B261">
        <v>279</v>
      </c>
      <c r="C261" t="s">
        <v>303</v>
      </c>
      <c r="D261" t="s">
        <v>48</v>
      </c>
      <c r="E261" t="s">
        <v>114</v>
      </c>
      <c r="F261" t="s">
        <v>84</v>
      </c>
      <c r="H261" t="s">
        <v>44</v>
      </c>
    </row>
    <row r="262" spans="1:8" x14ac:dyDescent="0.3">
      <c r="A262" t="s">
        <v>279</v>
      </c>
      <c r="B262">
        <v>280</v>
      </c>
      <c r="C262" t="s">
        <v>304</v>
      </c>
      <c r="D262" t="s">
        <v>53</v>
      </c>
      <c r="E262" t="s">
        <v>114</v>
      </c>
      <c r="F262" t="s">
        <v>84</v>
      </c>
      <c r="G262">
        <v>45117</v>
      </c>
      <c r="H262" t="s">
        <v>36</v>
      </c>
    </row>
    <row r="263" spans="1:8" x14ac:dyDescent="0.3">
      <c r="A263" t="s">
        <v>279</v>
      </c>
      <c r="B263">
        <v>284</v>
      </c>
      <c r="C263" t="s">
        <v>305</v>
      </c>
      <c r="D263" t="s">
        <v>48</v>
      </c>
      <c r="E263" t="s">
        <v>114</v>
      </c>
      <c r="F263" t="s">
        <v>84</v>
      </c>
      <c r="G263">
        <v>25223</v>
      </c>
      <c r="H263" t="s">
        <v>44</v>
      </c>
    </row>
    <row r="264" spans="1:8" x14ac:dyDescent="0.3">
      <c r="A264" t="s">
        <v>279</v>
      </c>
      <c r="B264">
        <v>285</v>
      </c>
      <c r="C264" t="s">
        <v>203</v>
      </c>
      <c r="D264" t="s">
        <v>332</v>
      </c>
      <c r="E264" t="s">
        <v>114</v>
      </c>
      <c r="F264" t="s">
        <v>84</v>
      </c>
      <c r="G264">
        <v>43213</v>
      </c>
      <c r="H264" t="s">
        <v>36</v>
      </c>
    </row>
    <row r="265" spans="1:8" x14ac:dyDescent="0.3">
      <c r="A265" t="s">
        <v>279</v>
      </c>
      <c r="B265">
        <v>286</v>
      </c>
      <c r="C265" t="s">
        <v>204</v>
      </c>
      <c r="D265" t="s">
        <v>54</v>
      </c>
      <c r="E265" t="s">
        <v>114</v>
      </c>
      <c r="F265" t="s">
        <v>84</v>
      </c>
      <c r="G265" s="67" t="s">
        <v>205</v>
      </c>
      <c r="H265" t="s">
        <v>36</v>
      </c>
    </row>
    <row r="266" spans="1:8" x14ac:dyDescent="0.3">
      <c r="A266" t="s">
        <v>279</v>
      </c>
      <c r="B266">
        <v>287</v>
      </c>
      <c r="C266" t="s">
        <v>408</v>
      </c>
      <c r="D266" t="s">
        <v>333</v>
      </c>
      <c r="E266" t="s">
        <v>114</v>
      </c>
      <c r="F266" t="s">
        <v>84</v>
      </c>
      <c r="G266">
        <v>45720</v>
      </c>
      <c r="H266" t="s">
        <v>36</v>
      </c>
    </row>
    <row r="267" spans="1:8" x14ac:dyDescent="0.3">
      <c r="A267" t="s">
        <v>279</v>
      </c>
      <c r="B267">
        <v>288</v>
      </c>
      <c r="C267" t="s">
        <v>206</v>
      </c>
      <c r="D267" t="s">
        <v>334</v>
      </c>
      <c r="E267" t="s">
        <v>114</v>
      </c>
      <c r="F267" t="s">
        <v>84</v>
      </c>
      <c r="G267">
        <v>15155</v>
      </c>
      <c r="H267" t="s">
        <v>36</v>
      </c>
    </row>
    <row r="268" spans="1:8" x14ac:dyDescent="0.3">
      <c r="A268" t="s">
        <v>279</v>
      </c>
      <c r="B268">
        <v>289</v>
      </c>
      <c r="C268" t="s">
        <v>406</v>
      </c>
      <c r="D268" t="s">
        <v>53</v>
      </c>
      <c r="E268" t="s">
        <v>114</v>
      </c>
      <c r="F268" t="s">
        <v>84</v>
      </c>
      <c r="G268">
        <v>34382</v>
      </c>
      <c r="H268" t="s">
        <v>47</v>
      </c>
    </row>
    <row r="269" spans="1:8" x14ac:dyDescent="0.3">
      <c r="A269" t="s">
        <v>279</v>
      </c>
      <c r="B269">
        <v>290</v>
      </c>
      <c r="C269" t="s">
        <v>396</v>
      </c>
      <c r="D269" t="s">
        <v>397</v>
      </c>
      <c r="E269" t="s">
        <v>114</v>
      </c>
      <c r="F269" t="s">
        <v>84</v>
      </c>
      <c r="G269">
        <v>27227</v>
      </c>
      <c r="H269" t="s">
        <v>44</v>
      </c>
    </row>
    <row r="270" spans="1:8" x14ac:dyDescent="0.3">
      <c r="A270" t="s">
        <v>279</v>
      </c>
      <c r="B270">
        <v>294</v>
      </c>
      <c r="C270" t="s">
        <v>306</v>
      </c>
      <c r="D270" t="s">
        <v>48</v>
      </c>
      <c r="E270" t="s">
        <v>114</v>
      </c>
      <c r="F270" t="s">
        <v>84</v>
      </c>
      <c r="G270">
        <v>1234</v>
      </c>
      <c r="H270" t="s">
        <v>44</v>
      </c>
    </row>
    <row r="271" spans="1:8" x14ac:dyDescent="0.3">
      <c r="A271" t="s">
        <v>279</v>
      </c>
      <c r="B271">
        <v>295</v>
      </c>
      <c r="C271" t="s">
        <v>307</v>
      </c>
      <c r="D271" t="s">
        <v>331</v>
      </c>
      <c r="E271" t="s">
        <v>114</v>
      </c>
      <c r="F271" t="s">
        <v>84</v>
      </c>
      <c r="H271" t="s">
        <v>47</v>
      </c>
    </row>
    <row r="272" spans="1:8" x14ac:dyDescent="0.3">
      <c r="A272" t="s">
        <v>279</v>
      </c>
      <c r="B272">
        <v>296</v>
      </c>
      <c r="C272" t="s">
        <v>308</v>
      </c>
      <c r="D272" t="s">
        <v>55</v>
      </c>
      <c r="E272" t="s">
        <v>114</v>
      </c>
      <c r="F272" t="s">
        <v>84</v>
      </c>
      <c r="G272">
        <v>28788</v>
      </c>
      <c r="H272" t="s">
        <v>36</v>
      </c>
    </row>
    <row r="273" spans="1:8" x14ac:dyDescent="0.3">
      <c r="A273" t="s">
        <v>279</v>
      </c>
      <c r="B273">
        <v>297</v>
      </c>
      <c r="C273" t="s">
        <v>309</v>
      </c>
      <c r="D273" t="s">
        <v>347</v>
      </c>
      <c r="E273" t="s">
        <v>114</v>
      </c>
      <c r="F273" t="s">
        <v>84</v>
      </c>
      <c r="G273">
        <v>42334</v>
      </c>
      <c r="H273" t="s">
        <v>47</v>
      </c>
    </row>
    <row r="274" spans="1:8" x14ac:dyDescent="0.3">
      <c r="A274" t="s">
        <v>279</v>
      </c>
      <c r="B274">
        <v>298</v>
      </c>
      <c r="C274" t="s">
        <v>310</v>
      </c>
      <c r="D274" t="s">
        <v>54</v>
      </c>
      <c r="E274" t="s">
        <v>114</v>
      </c>
      <c r="F274" t="s">
        <v>84</v>
      </c>
      <c r="G274" s="67" t="s">
        <v>311</v>
      </c>
      <c r="H274" t="s">
        <v>47</v>
      </c>
    </row>
    <row r="275" spans="1:8" x14ac:dyDescent="0.3">
      <c r="A275" t="s">
        <v>279</v>
      </c>
      <c r="B275">
        <v>299</v>
      </c>
      <c r="C275" t="s">
        <v>153</v>
      </c>
      <c r="D275" t="s">
        <v>333</v>
      </c>
      <c r="E275" t="s">
        <v>114</v>
      </c>
      <c r="F275" t="s">
        <v>84</v>
      </c>
      <c r="G275" s="67" t="s">
        <v>312</v>
      </c>
      <c r="H275" t="s">
        <v>36</v>
      </c>
    </row>
    <row r="276" spans="1:8" x14ac:dyDescent="0.3">
      <c r="A276" t="s">
        <v>279</v>
      </c>
      <c r="B276">
        <v>303</v>
      </c>
      <c r="C276" t="s">
        <v>407</v>
      </c>
      <c r="D276" t="s">
        <v>347</v>
      </c>
      <c r="E276" t="s">
        <v>114</v>
      </c>
      <c r="F276" t="s">
        <v>84</v>
      </c>
      <c r="H276" t="s">
        <v>47</v>
      </c>
    </row>
    <row r="277" spans="1:8" x14ac:dyDescent="0.3">
      <c r="A277" t="s">
        <v>279</v>
      </c>
      <c r="B277">
        <v>307</v>
      </c>
      <c r="C277" t="s">
        <v>394</v>
      </c>
      <c r="D277" t="s">
        <v>331</v>
      </c>
      <c r="E277" t="s">
        <v>114</v>
      </c>
      <c r="F277" t="s">
        <v>84</v>
      </c>
      <c r="H277" t="s">
        <v>36</v>
      </c>
    </row>
    <row r="278" spans="1:8" x14ac:dyDescent="0.3">
      <c r="A278" t="s">
        <v>279</v>
      </c>
      <c r="B278">
        <v>308</v>
      </c>
      <c r="C278" t="s">
        <v>405</v>
      </c>
      <c r="D278" t="s">
        <v>332</v>
      </c>
      <c r="E278" t="s">
        <v>114</v>
      </c>
      <c r="F278" t="s">
        <v>84</v>
      </c>
      <c r="G278">
        <v>37585</v>
      </c>
      <c r="H278" t="s">
        <v>36</v>
      </c>
    </row>
    <row r="279" spans="1:8" x14ac:dyDescent="0.3">
      <c r="A279" t="s">
        <v>279</v>
      </c>
      <c r="B279">
        <v>309</v>
      </c>
      <c r="C279" t="s">
        <v>401</v>
      </c>
      <c r="D279" t="s">
        <v>335</v>
      </c>
      <c r="E279" t="s">
        <v>114</v>
      </c>
      <c r="F279" t="s">
        <v>84</v>
      </c>
      <c r="H279" t="s">
        <v>355</v>
      </c>
    </row>
    <row r="280" spans="1:8" x14ac:dyDescent="0.3">
      <c r="A280" t="s">
        <v>279</v>
      </c>
      <c r="B280">
        <v>314</v>
      </c>
      <c r="C280" t="s">
        <v>313</v>
      </c>
      <c r="D280" t="s">
        <v>333</v>
      </c>
      <c r="E280" t="s">
        <v>114</v>
      </c>
      <c r="F280" t="s">
        <v>84</v>
      </c>
      <c r="G280">
        <v>41684</v>
      </c>
      <c r="H280" t="s">
        <v>44</v>
      </c>
    </row>
    <row r="281" spans="1:8" x14ac:dyDescent="0.3">
      <c r="A281" t="s">
        <v>279</v>
      </c>
      <c r="B281">
        <v>223</v>
      </c>
      <c r="C281" t="s">
        <v>181</v>
      </c>
      <c r="D281" t="s">
        <v>54</v>
      </c>
      <c r="E281" t="s">
        <v>114</v>
      </c>
      <c r="F281" t="s">
        <v>84</v>
      </c>
      <c r="G281">
        <v>34171</v>
      </c>
      <c r="H281" t="s">
        <v>36</v>
      </c>
    </row>
    <row r="282" spans="1:8" x14ac:dyDescent="0.3">
      <c r="A282" t="s">
        <v>279</v>
      </c>
      <c r="B282">
        <v>325</v>
      </c>
      <c r="C282" t="s">
        <v>121</v>
      </c>
      <c r="D282" t="s">
        <v>53</v>
      </c>
      <c r="E282" t="s">
        <v>114</v>
      </c>
      <c r="F282" t="s">
        <v>84</v>
      </c>
      <c r="G282">
        <v>6601</v>
      </c>
      <c r="H282" t="s">
        <v>36</v>
      </c>
    </row>
    <row r="283" spans="1:8" x14ac:dyDescent="0.3">
      <c r="A283" t="s">
        <v>279</v>
      </c>
      <c r="B283">
        <v>326</v>
      </c>
      <c r="C283" t="s">
        <v>182</v>
      </c>
      <c r="D283" t="s">
        <v>391</v>
      </c>
      <c r="E283" t="s">
        <v>114</v>
      </c>
      <c r="F283" t="s">
        <v>84</v>
      </c>
      <c r="G283">
        <v>37470</v>
      </c>
      <c r="H283" t="s">
        <v>36</v>
      </c>
    </row>
    <row r="284" spans="1:8" x14ac:dyDescent="0.3">
      <c r="A284" t="s">
        <v>279</v>
      </c>
      <c r="B284">
        <v>330</v>
      </c>
      <c r="C284" t="s">
        <v>185</v>
      </c>
      <c r="D284" t="s">
        <v>54</v>
      </c>
      <c r="E284" t="s">
        <v>114</v>
      </c>
      <c r="F284" t="s">
        <v>84</v>
      </c>
      <c r="G284">
        <v>2905</v>
      </c>
      <c r="H284" t="s">
        <v>36</v>
      </c>
    </row>
    <row r="285" spans="1:8" x14ac:dyDescent="0.3">
      <c r="A285" t="s">
        <v>279</v>
      </c>
      <c r="B285">
        <v>333</v>
      </c>
      <c r="C285" t="s">
        <v>412</v>
      </c>
      <c r="D285" t="s">
        <v>330</v>
      </c>
      <c r="E285" t="s">
        <v>114</v>
      </c>
      <c r="F285" t="s">
        <v>84</v>
      </c>
      <c r="G285">
        <v>45508</v>
      </c>
      <c r="H285" t="s">
        <v>36</v>
      </c>
    </row>
    <row r="286" spans="1:8" x14ac:dyDescent="0.3">
      <c r="A286" t="s">
        <v>279</v>
      </c>
      <c r="B286">
        <v>335</v>
      </c>
      <c r="C286" t="s">
        <v>410</v>
      </c>
      <c r="D286" t="s">
        <v>53</v>
      </c>
      <c r="E286" t="s">
        <v>114</v>
      </c>
      <c r="F286" t="s">
        <v>84</v>
      </c>
      <c r="H286" t="s">
        <v>47</v>
      </c>
    </row>
    <row r="287" spans="1:8" x14ac:dyDescent="0.3">
      <c r="A287" t="s">
        <v>279</v>
      </c>
      <c r="B287">
        <v>344</v>
      </c>
      <c r="C287" t="s">
        <v>395</v>
      </c>
      <c r="D287" t="s">
        <v>331</v>
      </c>
      <c r="E287" t="s">
        <v>114</v>
      </c>
      <c r="F287" t="s">
        <v>84</v>
      </c>
      <c r="G287">
        <v>46440</v>
      </c>
      <c r="H287" t="s">
        <v>36</v>
      </c>
    </row>
    <row r="288" spans="1:8" x14ac:dyDescent="0.3">
      <c r="A288" t="s">
        <v>279</v>
      </c>
      <c r="B288">
        <v>346</v>
      </c>
      <c r="C288" t="s">
        <v>192</v>
      </c>
      <c r="D288" t="s">
        <v>333</v>
      </c>
      <c r="E288" t="s">
        <v>114</v>
      </c>
      <c r="F288" t="s">
        <v>84</v>
      </c>
      <c r="G288">
        <v>27060</v>
      </c>
      <c r="H288" t="s">
        <v>44</v>
      </c>
    </row>
    <row r="289" spans="1:8" x14ac:dyDescent="0.3">
      <c r="A289" t="s">
        <v>279</v>
      </c>
      <c r="B289">
        <v>347</v>
      </c>
      <c r="C289" t="s">
        <v>193</v>
      </c>
      <c r="D289" t="s">
        <v>347</v>
      </c>
      <c r="E289" t="s">
        <v>114</v>
      </c>
      <c r="F289" t="s">
        <v>84</v>
      </c>
      <c r="G289">
        <v>33971</v>
      </c>
      <c r="H289" t="s">
        <v>36</v>
      </c>
    </row>
    <row r="290" spans="1:8" x14ac:dyDescent="0.3">
      <c r="A290" t="s">
        <v>279</v>
      </c>
      <c r="B290">
        <v>348</v>
      </c>
      <c r="C290" t="s">
        <v>399</v>
      </c>
      <c r="D290" t="s">
        <v>55</v>
      </c>
      <c r="E290" t="s">
        <v>114</v>
      </c>
      <c r="F290" t="s">
        <v>84</v>
      </c>
      <c r="G290">
        <v>45926</v>
      </c>
      <c r="H290" t="s">
        <v>36</v>
      </c>
    </row>
    <row r="291" spans="1:8" x14ac:dyDescent="0.3">
      <c r="A291" t="s">
        <v>279</v>
      </c>
      <c r="B291">
        <v>354</v>
      </c>
      <c r="C291" t="s">
        <v>56</v>
      </c>
      <c r="D291" t="s">
        <v>353</v>
      </c>
      <c r="E291" t="s">
        <v>114</v>
      </c>
      <c r="F291" t="s">
        <v>84</v>
      </c>
      <c r="G291">
        <v>45264</v>
      </c>
      <c r="H291" t="s">
        <v>44</v>
      </c>
    </row>
    <row r="292" spans="1:8" x14ac:dyDescent="0.3">
      <c r="A292" t="s">
        <v>279</v>
      </c>
      <c r="B292">
        <v>357</v>
      </c>
      <c r="C292" t="s">
        <v>315</v>
      </c>
      <c r="D292" t="s">
        <v>333</v>
      </c>
      <c r="E292" t="s">
        <v>114</v>
      </c>
      <c r="F292" t="s">
        <v>84</v>
      </c>
      <c r="G292">
        <v>1032</v>
      </c>
      <c r="H292" t="s">
        <v>36</v>
      </c>
    </row>
    <row r="293" spans="1:8" x14ac:dyDescent="0.3">
      <c r="A293" t="s">
        <v>279</v>
      </c>
      <c r="B293">
        <v>366</v>
      </c>
      <c r="C293" t="s">
        <v>400</v>
      </c>
      <c r="D293" t="s">
        <v>331</v>
      </c>
      <c r="E293" t="s">
        <v>114</v>
      </c>
      <c r="F293" t="s">
        <v>84</v>
      </c>
      <c r="G293">
        <v>1234</v>
      </c>
      <c r="H293" t="s">
        <v>47</v>
      </c>
    </row>
    <row r="294" spans="1:8" x14ac:dyDescent="0.3">
      <c r="A294" t="s">
        <v>279</v>
      </c>
      <c r="B294">
        <v>369</v>
      </c>
      <c r="C294" t="s">
        <v>209</v>
      </c>
      <c r="D294" t="s">
        <v>332</v>
      </c>
      <c r="E294" t="s">
        <v>114</v>
      </c>
      <c r="F294" t="s">
        <v>84</v>
      </c>
      <c r="G294">
        <v>26972</v>
      </c>
      <c r="H294" t="s">
        <v>47</v>
      </c>
    </row>
    <row r="295" spans="1:8" x14ac:dyDescent="0.3">
      <c r="A295" t="s">
        <v>279</v>
      </c>
      <c r="B295">
        <v>377</v>
      </c>
      <c r="C295" t="s">
        <v>316</v>
      </c>
      <c r="D295" t="s">
        <v>347</v>
      </c>
      <c r="E295" t="s">
        <v>114</v>
      </c>
      <c r="F295" t="s">
        <v>84</v>
      </c>
      <c r="G295">
        <v>16625</v>
      </c>
      <c r="H295" t="s">
        <v>44</v>
      </c>
    </row>
    <row r="296" spans="1:8" x14ac:dyDescent="0.3">
      <c r="A296" t="s">
        <v>279</v>
      </c>
      <c r="B296">
        <v>379</v>
      </c>
      <c r="C296" t="s">
        <v>201</v>
      </c>
      <c r="D296" t="s">
        <v>54</v>
      </c>
      <c r="E296" t="s">
        <v>114</v>
      </c>
      <c r="F296" t="s">
        <v>84</v>
      </c>
      <c r="G296">
        <v>22482</v>
      </c>
      <c r="H296" t="s">
        <v>36</v>
      </c>
    </row>
    <row r="297" spans="1:8" x14ac:dyDescent="0.3">
      <c r="A297" t="s">
        <v>279</v>
      </c>
      <c r="B297">
        <v>384</v>
      </c>
      <c r="C297" t="s">
        <v>402</v>
      </c>
      <c r="D297" t="s">
        <v>333</v>
      </c>
      <c r="E297" t="s">
        <v>114</v>
      </c>
      <c r="F297" t="s">
        <v>84</v>
      </c>
      <c r="G297">
        <v>42551</v>
      </c>
      <c r="H297" t="s">
        <v>44</v>
      </c>
    </row>
    <row r="298" spans="1:8" x14ac:dyDescent="0.3">
      <c r="A298" t="s">
        <v>279</v>
      </c>
      <c r="B298">
        <v>393</v>
      </c>
      <c r="C298" t="s">
        <v>403</v>
      </c>
      <c r="D298" t="s">
        <v>53</v>
      </c>
      <c r="E298" t="s">
        <v>114</v>
      </c>
      <c r="F298" t="s">
        <v>84</v>
      </c>
      <c r="G298" t="s">
        <v>404</v>
      </c>
      <c r="H298" t="s">
        <v>44</v>
      </c>
    </row>
  </sheetData>
  <autoFilter ref="A1:H298" xr:uid="{C37C1A2F-FFB9-4BED-A059-32AB7ABBEAFD}"/>
  <sortState xmlns:xlrd2="http://schemas.microsoft.com/office/spreadsheetml/2017/richdata2" ref="A2:H298">
    <sortCondition ref="A2:A298"/>
    <sortCondition ref="B2:B298"/>
  </sortState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8A1ED-5F74-4A69-80F7-CF4DBAD12BE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BAMBINO</vt:lpstr>
      <vt:lpstr>MICRO MAX</vt:lpstr>
      <vt:lpstr>MINI MAX</vt:lpstr>
      <vt:lpstr>JNR MAX</vt:lpstr>
      <vt:lpstr>SNR MAX</vt:lpstr>
      <vt:lpstr>DD2</vt:lpstr>
      <vt:lpstr>DD2 Masters</vt:lpstr>
      <vt:lpstr>SARMC Dates 2026</vt:lpstr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MouseRoss</dc:creator>
  <cp:keywords/>
  <dc:description/>
  <cp:lastModifiedBy>Jennifer Verheul</cp:lastModifiedBy>
  <cp:revision/>
  <cp:lastPrinted>2026-08-29T16:58:59Z</cp:lastPrinted>
  <dcterms:created xsi:type="dcterms:W3CDTF">2011-02-05T17:29:58Z</dcterms:created>
  <dcterms:modified xsi:type="dcterms:W3CDTF">2026-09-04T11:11:10Z</dcterms:modified>
  <cp:category/>
  <cp:contentStatus/>
</cp:coreProperties>
</file>